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hibaut Clermont\Desktop\Nouveau dossier\"/>
    </mc:Choice>
  </mc:AlternateContent>
  <xr:revisionPtr revIDLastSave="0" documentId="13_ncr:1_{F7973811-F8D1-467C-B28C-43DAA1E39EDB}" xr6:coauthVersionLast="47" xr6:coauthVersionMax="47" xr10:uidLastSave="{00000000-0000-0000-0000-000000000000}"/>
  <bookViews>
    <workbookView xWindow="-120" yWindow="-120" windowWidth="29040" windowHeight="15840" xr2:uid="{828DC2DA-FD59-487D-887E-90DF2502D365}"/>
  </bookViews>
  <sheets>
    <sheet name="Simulateur TNS" sheetId="1" r:id="rId1"/>
    <sheet name="Simulateur Salarié" sheetId="6" r:id="rId2"/>
    <sheet name="Récapitulatif et comparaison" sheetId="7" r:id="rId3"/>
    <sheet name="Calcul salarié" sheetId="5" state="hidden" r:id="rId4"/>
    <sheet name="Calcul TNS" sheetId="2" state="hidden" r:id="rId5"/>
    <sheet name="Données communes" sheetId="3" state="hidden" r:id="rId6"/>
  </sheets>
  <definedNames>
    <definedName name="COT_TAUX_AT">'Simulateur Salarié'!$E$15</definedName>
    <definedName name="COUT_TOTAL_COT_FISC_SOC_TNS">'Calcul TNS'!$F$33</definedName>
    <definedName name="FORM_PROF_TNS">'Calcul TNS'!$F$26</definedName>
    <definedName name="NATURE_ACTIVITE">'Simulateur TNS'!$E$15</definedName>
    <definedName name="PARC">'Données communes'!$D$8</definedName>
    <definedName name="PASS">'Données communes'!$D$5</definedName>
    <definedName name="PMSS">'Données communes'!$D$6</definedName>
    <definedName name="REVENUS">'Simulateur TNS'!$E$14</definedName>
    <definedName name="SAL_BRUT_SAL">'Simulateur Salarié'!$E$14</definedName>
    <definedName name="SAL_NET">'Calcul salarié'!$H$26</definedName>
    <definedName name="TOT_COT_FISC_TNS">'Calcul TNS'!$F$31</definedName>
    <definedName name="TOT_COT_SOC_PAT">'Calcul salarié'!$K$24</definedName>
    <definedName name="TOT_COT_SOC_SAL">'Calcul salarié'!$H$24</definedName>
    <definedName name="TOT_COT_SOC_TNS">'Calcul TNS'!$F$24</definedName>
    <definedName name="TX_MAL_COM_T1">'Données communes'!$D$10</definedName>
    <definedName name="TX_MAL_COM_T2">'Données communes'!$D$11</definedName>
    <definedName name="_xlnm.Print_Area" localSheetId="2">'Récapitulatif et comparaison'!$A$1:$D$20</definedName>
    <definedName name="_xlnm.Print_Area" localSheetId="1">'Simulateur Salarié'!$A$1:$G$48</definedName>
    <definedName name="_xlnm.Print_Area" localSheetId="0">'Simulateur TNS'!$A$1:$G$44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2" l="1"/>
  <c r="E20" i="1"/>
  <c r="E9" i="2" l="1"/>
  <c r="D15" i="7" l="1"/>
  <c r="E21" i="6"/>
  <c r="E26" i="2"/>
  <c r="J10" i="5" l="1"/>
  <c r="G10" i="5"/>
  <c r="I15" i="5"/>
  <c r="K15" i="5" s="1"/>
  <c r="F15" i="5"/>
  <c r="H15" i="5" s="1"/>
  <c r="I14" i="5"/>
  <c r="K14" i="5" s="1"/>
  <c r="F14" i="5"/>
  <c r="H14" i="5" s="1"/>
  <c r="H22" i="5" l="1"/>
  <c r="J22" i="5"/>
  <c r="I22" i="5"/>
  <c r="K21" i="5"/>
  <c r="F21" i="5"/>
  <c r="H21" i="5" s="1"/>
  <c r="E40" i="6" s="1"/>
  <c r="F20" i="5"/>
  <c r="H20" i="5" s="1"/>
  <c r="E41" i="6" s="1"/>
  <c r="F38" i="6" l="1"/>
  <c r="I5" i="5"/>
  <c r="K5" i="5" s="1"/>
  <c r="K20" i="5"/>
  <c r="I18" i="5"/>
  <c r="K18" i="5" s="1"/>
  <c r="I17" i="5"/>
  <c r="K17" i="5" s="1"/>
  <c r="I19" i="5"/>
  <c r="K19" i="5" s="1"/>
  <c r="I16" i="5"/>
  <c r="K16" i="5" s="1"/>
  <c r="F16" i="5"/>
  <c r="H16" i="5" s="1"/>
  <c r="I12" i="5"/>
  <c r="K12" i="5" s="1"/>
  <c r="F12" i="5"/>
  <c r="H12" i="5" s="1"/>
  <c r="I11" i="5"/>
  <c r="K11" i="5" s="1"/>
  <c r="F11" i="5"/>
  <c r="H11" i="5" s="1"/>
  <c r="I10" i="5"/>
  <c r="I8" i="5"/>
  <c r="K8" i="5" s="1"/>
  <c r="F8" i="5"/>
  <c r="H8" i="5" s="1"/>
  <c r="F10" i="5"/>
  <c r="K22" i="5"/>
  <c r="H5" i="5"/>
  <c r="H17" i="5"/>
  <c r="H18" i="5"/>
  <c r="H19" i="5"/>
  <c r="I7" i="5"/>
  <c r="K7" i="5" s="1"/>
  <c r="F7" i="5"/>
  <c r="H7" i="5" s="1"/>
  <c r="E33" i="6" l="1"/>
  <c r="E35" i="6"/>
  <c r="K10" i="5"/>
  <c r="K24" i="5" s="1"/>
  <c r="E32" i="6"/>
  <c r="H10" i="5"/>
  <c r="H24" i="5" s="1"/>
  <c r="C22" i="6" s="1"/>
  <c r="F20" i="2"/>
  <c r="E24" i="6" l="1"/>
  <c r="F23" i="6"/>
  <c r="E34" i="6"/>
  <c r="F30" i="6" s="1"/>
  <c r="F44" i="6" s="1"/>
  <c r="H26" i="5"/>
  <c r="C15" i="7" s="1"/>
  <c r="E14" i="2"/>
  <c r="D9" i="2"/>
  <c r="D10" i="2"/>
  <c r="F10" i="2" s="1"/>
  <c r="D14" i="2"/>
  <c r="D22" i="2"/>
  <c r="F22" i="2" s="1"/>
  <c r="E33" i="1" s="1"/>
  <c r="D12" i="2"/>
  <c r="F12" i="2" s="1"/>
  <c r="E30" i="1" s="1"/>
  <c r="D26" i="2"/>
  <c r="D17" i="2"/>
  <c r="F17" i="2" s="1"/>
  <c r="E32" i="1" s="1"/>
  <c r="D19" i="2"/>
  <c r="F19" i="2" s="1"/>
  <c r="D18" i="2"/>
  <c r="F18" i="2" s="1"/>
  <c r="C16" i="7" l="1"/>
  <c r="C14" i="7"/>
  <c r="B23" i="6"/>
  <c r="E16" i="6"/>
  <c r="F9" i="2"/>
  <c r="F14" i="2"/>
  <c r="E29" i="1" s="1"/>
  <c r="F26" i="2"/>
  <c r="E31" i="1" l="1"/>
  <c r="F24" i="2"/>
  <c r="E34" i="1"/>
  <c r="F27" i="1" l="1"/>
  <c r="D29" i="2"/>
  <c r="F29" i="2" s="1"/>
  <c r="E38" i="1" s="1"/>
  <c r="D28" i="2"/>
  <c r="F28" i="2" s="1"/>
  <c r="F31" i="2" l="1"/>
  <c r="F36" i="1" s="1"/>
  <c r="E39" i="1"/>
  <c r="C21" i="1" l="1"/>
  <c r="F33" i="2"/>
  <c r="E22" i="1"/>
  <c r="D16" i="7" l="1"/>
  <c r="D14" i="7"/>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Thibaut Clermont</author>
  </authors>
  <commentList>
    <comment ref="E15" authorId="0" shapeId="0" xr:uid="{8143D067-20F7-473D-B205-D2DBF3380125}">
      <text>
        <r>
          <rPr>
            <b/>
            <sz val="9"/>
            <color indexed="81"/>
            <rFont val="Tahoma"/>
            <family val="2"/>
          </rPr>
          <t>Votre taux de cotisations sociales AT/MP (accident du travail - maladie professionnelle) dépend de la nature de votre activité. Cliquez sur le lien pour en prendre connaissance</t>
        </r>
      </text>
    </comment>
  </commentList>
</comments>
</file>

<file path=xl/sharedStrings.xml><?xml version="1.0" encoding="utf-8"?>
<sst xmlns="http://schemas.openxmlformats.org/spreadsheetml/2006/main" count="160" uniqueCount="127">
  <si>
    <t>Commerciale</t>
  </si>
  <si>
    <t>Artisanale</t>
  </si>
  <si>
    <t>Nature de l'activité exercée</t>
  </si>
  <si>
    <t>Précisez le type d'activité</t>
  </si>
  <si>
    <t>Contribution sociale généralisée</t>
  </si>
  <si>
    <t>Allocations familiales</t>
  </si>
  <si>
    <t>Indemnités journalières</t>
  </si>
  <si>
    <t>Maladie et maternité</t>
  </si>
  <si>
    <t>Retraite de base et complémentaire</t>
  </si>
  <si>
    <t>Invalidité et décès</t>
  </si>
  <si>
    <t>Formation professionnelle</t>
  </si>
  <si>
    <t>TOTAL GÉNÉRAL DES CONTRIBUTIONS</t>
  </si>
  <si>
    <t>Maladie</t>
  </si>
  <si>
    <t>Assiette</t>
  </si>
  <si>
    <t>Taux</t>
  </si>
  <si>
    <t>Montant</t>
  </si>
  <si>
    <t xml:space="preserve">Retraite </t>
  </si>
  <si>
    <t>De base</t>
  </si>
  <si>
    <t>Complémentaire</t>
  </si>
  <si>
    <t>PASS</t>
  </si>
  <si>
    <t>PMSS</t>
  </si>
  <si>
    <t>Plafond de la retraite complémentaire</t>
  </si>
  <si>
    <t>PARC</t>
  </si>
  <si>
    <t>Taux 1</t>
  </si>
  <si>
    <t>Taux 2</t>
  </si>
  <si>
    <t>Dans la limite de 5 PASS</t>
  </si>
  <si>
    <t>Au-delà de 5 PASS</t>
  </si>
  <si>
    <t>TOTAL GENERAL</t>
  </si>
  <si>
    <t>Modulation du taux de l'assurance maladie</t>
  </si>
  <si>
    <t>CSG</t>
  </si>
  <si>
    <t>CRDS</t>
  </si>
  <si>
    <t>TOTAL CSG et CRDS</t>
  </si>
  <si>
    <t>TOTAL CHARGES SOCIALES (HORS FORM, CSG, CRDS)</t>
  </si>
  <si>
    <t>(pour commerçants et artisans)</t>
  </si>
  <si>
    <t>TX_MAL_COM_T1</t>
  </si>
  <si>
    <t>TX_MAL_COM_T2</t>
  </si>
  <si>
    <t>Annuel</t>
  </si>
  <si>
    <t>Mensuel</t>
  </si>
  <si>
    <t>Information</t>
  </si>
  <si>
    <t>Périodicité</t>
  </si>
  <si>
    <t>Nom attribué</t>
  </si>
  <si>
    <t>Revenus annuels du dirigeant</t>
  </si>
  <si>
    <t>En percevant une rémunération annuelle de</t>
  </si>
  <si>
    <t>, vous devrez</t>
  </si>
  <si>
    <t xml:space="preserve">payer </t>
  </si>
  <si>
    <t>TAXES FINANCANT LE SYSTÈME DE PROTECTION SOCIALE</t>
  </si>
  <si>
    <t>DÉTAIL DES COTISATIONS ET TAXES</t>
  </si>
  <si>
    <t>SYNTHÈSE DES CONTRIBUTIONS À PAYER</t>
  </si>
  <si>
    <t>INFORMATIONS NÉCESSAIRES A LA SIMULATION</t>
  </si>
  <si>
    <t>SIMULATEUR DE COTISATIONS SOCIALES
(Travailleurs Non-Salariés)</t>
  </si>
  <si>
    <t>au titre des cotisations sociales et des autres contributions.</t>
  </si>
  <si>
    <t>Vos revenus nets sont taxés à un taux moyen de</t>
  </si>
  <si>
    <t>Contribution au remboursement de la dette sociale</t>
  </si>
  <si>
    <t>Libérale non réglementée</t>
  </si>
  <si>
    <t>Ce simulateur vous permet d'obtenir une estimation du montant de vos cotisations sociales en application des taux et barème en vigueur en 2020. Il ne s'applique pas aux professions libérales réglementées ainsi qu'aux entreprises relevant du régime micro (micro-BIC ou micro-BNC). La simulation dépend uniquement des données que vous allez saisir dans les onglets "revenus annuels" et "nature de l'activité". Elle ne saurait engager la responsabilité de la société FCIC.</t>
  </si>
  <si>
    <t>COTISATIONS AUX ORGANISMES SOCIAUX</t>
  </si>
  <si>
    <t>Assurance maladie, maternité, invalidité, décès</t>
  </si>
  <si>
    <t>Base</t>
  </si>
  <si>
    <t>SIMULATEUR DE COTISATIONS SOCIALES
(Dirigeant Assimilé Salarié)</t>
  </si>
  <si>
    <t>Déplafonnée</t>
  </si>
  <si>
    <t>Cotisations salariales</t>
  </si>
  <si>
    <t>Dans la limite du PASS</t>
  </si>
  <si>
    <t>Contribution au dialogue social</t>
  </si>
  <si>
    <t>Fnal</t>
  </si>
  <si>
    <t>Accident du travail</t>
  </si>
  <si>
    <t>Cotisations</t>
  </si>
  <si>
    <t>Assurance vieillesse de base</t>
  </si>
  <si>
    <t>Assurance vieillesse complémentaire</t>
  </si>
  <si>
    <t>Salaire compris entre 1 PASS et 8 PASS</t>
  </si>
  <si>
    <t>Contribution d'équilibre technique</t>
  </si>
  <si>
    <t>Agence pour l'emploi des cadres</t>
  </si>
  <si>
    <t>Salaires bruts attribués au dirigeant salarié</t>
  </si>
  <si>
    <t>Total des cotisations</t>
  </si>
  <si>
    <t>SALAIRE NET</t>
  </si>
  <si>
    <t>, votre société</t>
  </si>
  <si>
    <t>précompte</t>
  </si>
  <si>
    <t>de cotisations salariales et vous reverse un salaire net de</t>
  </si>
  <si>
    <t>Votre taux de charges sociales sur salaire brut est de</t>
  </si>
  <si>
    <t>Si vous vous allouez rémunération brute annuelle de</t>
  </si>
  <si>
    <t xml:space="preserve">. Elle supporte, en supplément, des charges patronales pour </t>
  </si>
  <si>
    <t>Autres contributions</t>
  </si>
  <si>
    <t>Votre taux de cotisations</t>
  </si>
  <si>
    <t>accident du travail</t>
  </si>
  <si>
    <t>Couverture sociale</t>
  </si>
  <si>
    <t>Garanties identiques</t>
  </si>
  <si>
    <t>Oui</t>
  </si>
  <si>
    <t>Non</t>
  </si>
  <si>
    <t>Cotisations sociales</t>
  </si>
  <si>
    <t>Obligatoire</t>
  </si>
  <si>
    <t>Facultative (conseillée)</t>
  </si>
  <si>
    <t>Catégorie</t>
  </si>
  <si>
    <t>Caractéristiques</t>
  </si>
  <si>
    <t>Formalisme</t>
  </si>
  <si>
    <t>Non-applicable</t>
  </si>
  <si>
    <t>DSN (mensuelles)</t>
  </si>
  <si>
    <t>DSI (annuelle)</t>
  </si>
  <si>
    <t>Résultats de 
la simulation</t>
  </si>
  <si>
    <t>Contribution d'équilibre général</t>
  </si>
  <si>
    <t>Maladie, maternité, accident du travail, invalidité et décès</t>
  </si>
  <si>
    <t>COMPARAISON DES STATUTS SOCIAUX ET RÉCAPITULATIF DES SIMULATIONS</t>
  </si>
  <si>
    <t>Sous conditions de revenus</t>
  </si>
  <si>
    <t>Grâce aux cotisations minimales</t>
  </si>
  <si>
    <t xml:space="preserve">  Rémunération nette versée</t>
  </si>
  <si>
    <t xml:space="preserve">  Coût global pour l'entreprise</t>
  </si>
  <si>
    <t xml:space="preserve">  Taux de charges (cotisations/net)</t>
  </si>
  <si>
    <t xml:space="preserve">  Établissement de bulletins de paie</t>
  </si>
  <si>
    <t xml:space="preserve">  Prévoyance santé (Mutuelle)</t>
  </si>
  <si>
    <t xml:space="preserve">  Cotisations minimales obligatoires</t>
  </si>
  <si>
    <t xml:space="preserve">  Droits à la retraite</t>
  </si>
  <si>
    <t xml:space="preserve">  Prise en charge accident du travail</t>
  </si>
  <si>
    <t xml:space="preserve">  Indemnités journalières</t>
  </si>
  <si>
    <t xml:space="preserve">  Remboursement de soins</t>
  </si>
  <si>
    <r>
      <t>Dirigeant assimilé salarié</t>
    </r>
    <r>
      <rPr>
        <i/>
        <sz val="10"/>
        <color theme="1"/>
        <rFont val="Calibri"/>
        <family val="2"/>
        <scheme val="minor"/>
      </rPr>
      <t xml:space="preserve">
</t>
    </r>
    <r>
      <rPr>
        <i/>
        <sz val="10.5"/>
        <color theme="1"/>
        <rFont val="Calibri"/>
        <family val="2"/>
        <scheme val="minor"/>
      </rPr>
      <t>Président de SAS ou SASU
Gérant minoritaire de SARL</t>
    </r>
  </si>
  <si>
    <r>
      <t xml:space="preserve">Travailleur non-salarié
</t>
    </r>
    <r>
      <rPr>
        <i/>
        <sz val="10.5"/>
        <color theme="1"/>
        <rFont val="Calibri"/>
        <family val="2"/>
        <scheme val="minor"/>
      </rPr>
      <t>Chef d'entreprise individuelle (+EIRL)
Gérant majoritaire de SARL ou EURL</t>
    </r>
  </si>
  <si>
    <t>Ce simulateur vous permet d'obtenir une estimation du montant de vos cotisations sociales en application des taux et barème en vigueur en 2020. Il ne s'applique qu'aux dirigeants assimilés salariés non-titulaires d'un contrat de travail pour des fonctions distinctes de celles de direction. La simulation dépend uniquement des données que vous allez saisir dans les onglets "salaires bruts" et "taux des cotisations AT". Elle ne saurait engager la responsabilité de la société FCIC.</t>
  </si>
  <si>
    <t>Salaires nets calculés par le simulateur</t>
  </si>
  <si>
    <t>Cotisations patronales</t>
  </si>
  <si>
    <t>TOTAL GÉNÉRAL DES CONTRIBUTIONS ET CHARGES</t>
  </si>
  <si>
    <t>Oui (SARL/EURL)</t>
  </si>
  <si>
    <t xml:space="preserve">  Dividendes soumis à cotisations</t>
  </si>
  <si>
    <t xml:space="preserve">  Déclaration sociale des revenus</t>
  </si>
  <si>
    <t xml:space="preserve">  Conditions d'ouverture des droits</t>
  </si>
  <si>
    <t>Pensions quasi-identiques dans la limite de 1 PASS ( 41 136 € )
Plus élevées pour le dirigeant salarié au-delà (retraite complémentaire)</t>
  </si>
  <si>
    <t>Prestations similaires sauf délai de carence (TNS : 7 jrs - salarié : 3 jrs)</t>
  </si>
  <si>
    <t>Non (arrêt maladie classique)</t>
  </si>
  <si>
    <t>Oui (pas de délai de carence)</t>
  </si>
  <si>
    <t>Plafond de la sécurité sociale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</si>
</sst>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40C]_-;\-* #,##0\ [$€-40C]_-;_-* &quot;-&quot;??\ [$€-40C]_-;_-@_-"/>
    <numFmt numFmtId="165" formatCode="#,##0\ [$€-40C];\-#,##0\ [$€-40C]"/>
    <numFmt numFmtId="166" formatCode="0.000%"/>
    <numFmt numFmtId="167" formatCode="#,##0\ &quot;€&quot;"/>
    <numFmt numFmtId="168" formatCode="#,##0.000"/>
    <numFmt numFmtId="169" formatCode="0.0000"/>
    <numFmt numFmtId="170" formatCode="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
      <b/>
      <sz val="13"/>
      <color theme="1"/>
      <name val="Calibri"/>
      <family val="2"/>
      <scheme val="minor"/>
    </font>
    <font>
      <sz val="16"/>
      <color theme="1"/>
      <name val="Abadi"/>
      <family val="2"/>
    </font>
    <font>
      <i/>
      <sz val="10"/>
      <color theme="1"/>
      <name val="Calibri"/>
      <family val="2"/>
      <scheme val="minor"/>
    </font>
    <font>
      <u/>
      <sz val="11"/>
      <color theme="10"/>
      <name val="Calibri"/>
      <family val="2"/>
      <scheme val="minor"/>
    </font>
    <font>
      <u/>
      <sz val="14"/>
      <color theme="10"/>
      <name val="Calibri"/>
      <family val="2"/>
      <scheme val="minor"/>
    </font>
    <font>
      <b/>
      <sz val="14"/>
      <color rgb="FFFE6018"/>
      <name val="Calibri"/>
      <family val="2"/>
      <scheme val="minor"/>
    </font>
    <font>
      <b/>
      <sz val="16"/>
      <color theme="1"/>
      <name val="Calibri"/>
      <family val="2"/>
      <scheme val="minor"/>
    </font>
    <font>
      <b/>
      <sz val="18"/>
      <color theme="1"/>
      <name val="Calibri"/>
      <family val="2"/>
      <scheme val="minor"/>
    </font>
    <font>
      <i/>
      <sz val="10.5"/>
      <color theme="1"/>
      <name val="Calibri"/>
      <family val="2"/>
      <scheme val="minor"/>
    </font>
    <font>
      <b/>
      <sz val="9"/>
      <color indexed="81"/>
      <name val="Tahoma"/>
      <family val="2"/>
    </font>
  </fonts>
  <fills count="4">
    <fill>
      <patternFill patternType="none"/>
    </fill>
    <fill>
      <patternFill patternType="gray125"/>
    </fill>
    <fill>
      <patternFill patternType="solid">
        <fgColor rgb="FFFE6018"/>
        <bgColor indexed="64"/>
      </patternFill>
    </fill>
    <fill>
      <patternFill patternType="solid">
        <fgColor rgb="FFCCECFF"/>
        <bgColor indexed="64"/>
      </patternFill>
    </fill>
  </fills>
  <borders count="25">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97">
    <xf numFmtId="0" fontId="0" fillId="0" borderId="0" xfId="0"/>
    <xf numFmtId="0" fontId="3" fillId="0" borderId="0" xfId="0" applyFont="1"/>
    <xf numFmtId="0" fontId="4" fillId="0" borderId="0" xfId="0" applyFont="1"/>
    <xf numFmtId="0" fontId="4" fillId="0" borderId="0" xfId="0" applyFont="1" applyAlignment="1">
      <alignment vertical="center"/>
    </xf>
    <xf numFmtId="3" fontId="4" fillId="0" borderId="0" xfId="0" applyNumberFormat="1" applyFont="1"/>
    <xf numFmtId="4" fontId="0" fillId="0" borderId="0" xfId="0" applyNumberFormat="1"/>
    <xf numFmtId="10" fontId="0" fillId="0" borderId="0" xfId="0" applyNumberFormat="1"/>
    <xf numFmtId="10" fontId="0" fillId="0" borderId="0" xfId="1" applyNumberFormat="1" applyFont="1"/>
    <xf numFmtId="3" fontId="0" fillId="0" borderId="0" xfId="0" applyNumberFormat="1"/>
    <xf numFmtId="0" fontId="0" fillId="0" borderId="1" xfId="0" applyBorder="1"/>
    <xf numFmtId="0" fontId="5" fillId="0" borderId="1" xfId="0" applyFont="1" applyBorder="1" applyAlignment="1">
      <alignment horizontal="right"/>
    </xf>
    <xf numFmtId="0" fontId="0" fillId="0" borderId="2" xfId="0" applyBorder="1"/>
    <xf numFmtId="4" fontId="0" fillId="0" borderId="2" xfId="0" applyNumberFormat="1" applyBorder="1"/>
    <xf numFmtId="3" fontId="0" fillId="0" borderId="2" xfId="0" applyNumberFormat="1" applyBorder="1"/>
    <xf numFmtId="10" fontId="0" fillId="0" borderId="2" xfId="1" applyNumberFormat="1" applyFont="1" applyBorder="1"/>
    <xf numFmtId="0" fontId="0" fillId="0" borderId="3" xfId="0" applyBorder="1"/>
    <xf numFmtId="0" fontId="0" fillId="0" borderId="4" xfId="0" applyBorder="1"/>
    <xf numFmtId="4" fontId="0" fillId="0" borderId="4" xfId="0" applyNumberFormat="1" applyBorder="1"/>
    <xf numFmtId="0" fontId="0" fillId="0" borderId="5" xfId="0" applyBorder="1"/>
    <xf numFmtId="0" fontId="0" fillId="0" borderId="6" xfId="0" applyBorder="1"/>
    <xf numFmtId="0" fontId="0" fillId="0" borderId="0" xfId="0" applyBorder="1"/>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horizontal="center"/>
    </xf>
    <xf numFmtId="0" fontId="2" fillId="0" borderId="5" xfId="0" applyFont="1" applyBorder="1" applyAlignment="1">
      <alignment horizontal="center"/>
    </xf>
    <xf numFmtId="164" fontId="4" fillId="0" borderId="0" xfId="0" applyNumberFormat="1" applyFont="1"/>
    <xf numFmtId="164" fontId="6" fillId="0" borderId="0" xfId="0" applyNumberFormat="1" applyFont="1"/>
    <xf numFmtId="0" fontId="4" fillId="0" borderId="0" xfId="0" quotePrefix="1" applyFont="1"/>
    <xf numFmtId="164" fontId="3" fillId="0" borderId="0" xfId="0" applyNumberFormat="1" applyFont="1"/>
    <xf numFmtId="0" fontId="8" fillId="0" borderId="0" xfId="0" applyFont="1" applyAlignment="1">
      <alignment horizontal="left"/>
    </xf>
    <xf numFmtId="164" fontId="8" fillId="0" borderId="0" xfId="0" applyNumberFormat="1" applyFont="1"/>
    <xf numFmtId="0" fontId="8" fillId="0" borderId="0" xfId="0" applyFont="1" applyAlignment="1"/>
    <xf numFmtId="0" fontId="4" fillId="2" borderId="0" xfId="0" applyFont="1" applyFill="1"/>
    <xf numFmtId="9" fontId="4" fillId="0" borderId="0" xfId="1" applyFont="1" applyAlignment="1">
      <alignment vertical="center"/>
    </xf>
    <xf numFmtId="9" fontId="6" fillId="0" borderId="0" xfId="1" applyNumberFormat="1" applyFont="1" applyAlignment="1">
      <alignment horizontal="left"/>
    </xf>
    <xf numFmtId="0" fontId="8" fillId="0" borderId="0" xfId="0" applyFont="1" applyAlignment="1">
      <alignment horizontal="left"/>
    </xf>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166" fontId="0" fillId="0" borderId="0" xfId="0" applyNumberFormat="1" applyAlignment="1">
      <alignment horizontal="center" vertical="center"/>
    </xf>
    <xf numFmtId="3" fontId="0" fillId="0" borderId="0" xfId="0" applyNumberFormat="1" applyAlignment="1">
      <alignment horizontal="center" vertical="center"/>
    </xf>
    <xf numFmtId="9" fontId="6" fillId="0" borderId="0" xfId="1" applyNumberFormat="1" applyFont="1" applyAlignment="1">
      <alignment horizontal="left" vertical="center"/>
    </xf>
    <xf numFmtId="167" fontId="6" fillId="0" borderId="0" xfId="0" applyNumberFormat="1" applyFont="1" applyAlignment="1">
      <alignment horizontal="center" vertical="center"/>
    </xf>
    <xf numFmtId="167" fontId="6" fillId="0" borderId="0" xfId="0" applyNumberFormat="1" applyFont="1" applyAlignment="1">
      <alignment horizontal="center"/>
    </xf>
    <xf numFmtId="168" fontId="4" fillId="0" borderId="0" xfId="0" applyNumberFormat="1" applyFont="1"/>
    <xf numFmtId="0" fontId="12" fillId="0" borderId="0" xfId="2" applyFont="1" applyAlignment="1">
      <alignment vertical="center"/>
    </xf>
    <xf numFmtId="10" fontId="0" fillId="0" borderId="0" xfId="1" applyNumberFormat="1" applyFont="1" applyAlignment="1">
      <alignment horizontal="center" vertical="center"/>
    </xf>
    <xf numFmtId="0" fontId="4" fillId="0" borderId="0" xfId="0" applyFont="1" applyAlignment="1">
      <alignment vertical="center" wrapText="1"/>
    </xf>
    <xf numFmtId="169" fontId="0" fillId="0" borderId="0" xfId="0" applyNumberFormat="1"/>
    <xf numFmtId="170" fontId="0" fillId="0" borderId="0" xfId="0" applyNumberFormat="1"/>
    <xf numFmtId="0" fontId="4" fillId="0" borderId="0" xfId="0" applyFont="1" applyAlignment="1">
      <alignment horizontal="center" vertical="center" wrapText="1"/>
    </xf>
    <xf numFmtId="0" fontId="4" fillId="0" borderId="0" xfId="0" applyFont="1" applyAlignment="1" applyProtection="1">
      <alignment vertical="center"/>
    </xf>
    <xf numFmtId="0" fontId="4" fillId="0" borderId="0" xfId="0" applyFont="1" applyAlignment="1" applyProtection="1">
      <alignment vertical="center" wrapText="1"/>
    </xf>
    <xf numFmtId="0" fontId="14" fillId="0" borderId="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3" xfId="0" applyFont="1" applyBorder="1" applyAlignment="1" applyProtection="1">
      <alignment vertical="center" wrapText="1"/>
    </xf>
    <xf numFmtId="0" fontId="13" fillId="0" borderId="14" xfId="0" applyFont="1" applyBorder="1" applyAlignment="1" applyProtection="1">
      <alignment vertical="center" wrapText="1"/>
    </xf>
    <xf numFmtId="0" fontId="4" fillId="0" borderId="16" xfId="0" applyFont="1" applyBorder="1" applyAlignment="1" applyProtection="1">
      <alignment horizontal="center" vertical="center"/>
    </xf>
    <xf numFmtId="0" fontId="13" fillId="0" borderId="15" xfId="0" applyFont="1" applyBorder="1" applyAlignment="1" applyProtection="1">
      <alignment vertical="center" wrapText="1"/>
    </xf>
    <xf numFmtId="0" fontId="4" fillId="0" borderId="17" xfId="0" applyFont="1" applyBorder="1" applyAlignment="1" applyProtection="1">
      <alignment horizontal="center" vertical="center"/>
    </xf>
    <xf numFmtId="0" fontId="13" fillId="0" borderId="21" xfId="0" applyFont="1" applyBorder="1" applyAlignment="1" applyProtection="1">
      <alignmen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13" fillId="0" borderId="22" xfId="0" applyFont="1" applyBorder="1" applyAlignment="1" applyProtection="1">
      <alignment vertical="center" wrapText="1"/>
    </xf>
    <xf numFmtId="0" fontId="4" fillId="0" borderId="15" xfId="0" applyFont="1" applyBorder="1" applyAlignment="1" applyProtection="1">
      <alignment horizontal="center" vertical="center"/>
    </xf>
    <xf numFmtId="9" fontId="6" fillId="0" borderId="18" xfId="1" applyNumberFormat="1" applyFont="1" applyBorder="1" applyAlignment="1" applyProtection="1">
      <alignment horizontal="center" vertical="center"/>
    </xf>
    <xf numFmtId="9" fontId="6" fillId="0" borderId="18" xfId="1" applyFont="1" applyBorder="1" applyAlignment="1" applyProtection="1">
      <alignment horizontal="center" vertical="center"/>
    </xf>
    <xf numFmtId="167" fontId="6" fillId="0" borderId="16" xfId="0" applyNumberFormat="1" applyFont="1" applyBorder="1" applyAlignment="1" applyProtection="1">
      <alignment horizontal="center" vertical="center"/>
    </xf>
    <xf numFmtId="167" fontId="6" fillId="0" borderId="17" xfId="1" applyNumberFormat="1" applyFont="1" applyBorder="1" applyAlignment="1" applyProtection="1">
      <alignment horizontal="center" vertical="center"/>
    </xf>
    <xf numFmtId="0" fontId="13" fillId="0" borderId="23" xfId="0" applyFont="1" applyBorder="1" applyAlignment="1" applyProtection="1">
      <alignment vertical="center" wrapText="1"/>
    </xf>
    <xf numFmtId="164" fontId="3" fillId="0" borderId="0" xfId="0" applyNumberFormat="1" applyFont="1" applyFill="1"/>
    <xf numFmtId="0" fontId="4" fillId="0" borderId="0" xfId="0" applyFont="1" applyAlignment="1">
      <alignment horizontal="center"/>
    </xf>
    <xf numFmtId="0" fontId="9" fillId="0" borderId="0" xfId="0" applyFont="1" applyAlignment="1">
      <alignment horizontal="center" vertical="center" wrapText="1"/>
    </xf>
    <xf numFmtId="0" fontId="8" fillId="0" borderId="0" xfId="0" applyFont="1" applyAlignment="1">
      <alignment horizontal="left"/>
    </xf>
    <xf numFmtId="0" fontId="7" fillId="2" borderId="0" xfId="0" applyFont="1" applyFill="1" applyAlignment="1">
      <alignment horizontal="center" vertical="center"/>
    </xf>
    <xf numFmtId="0" fontId="4" fillId="3" borderId="0" xfId="0" applyFont="1" applyFill="1" applyAlignment="1" applyProtection="1">
      <alignment horizontal="center" vertical="center" wrapText="1"/>
      <protection locked="0"/>
    </xf>
    <xf numFmtId="165" fontId="4" fillId="3" borderId="0" xfId="0" applyNumberFormat="1" applyFont="1" applyFill="1" applyAlignment="1" applyProtection="1">
      <alignment horizontal="center" vertical="center"/>
      <protection locked="0"/>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10" fontId="4" fillId="3" borderId="0" xfId="1" applyNumberFormat="1" applyFont="1" applyFill="1" applyAlignment="1" applyProtection="1">
      <alignment horizontal="center" vertical="center"/>
      <protection locked="0"/>
    </xf>
    <xf numFmtId="167" fontId="4" fillId="0" borderId="0" xfId="1" applyNumberFormat="1" applyFont="1" applyFill="1" applyAlignment="1" applyProtection="1">
      <alignment horizontal="center" vertical="center"/>
    </xf>
    <xf numFmtId="0" fontId="4" fillId="0" borderId="0" xfId="0" applyFont="1" applyAlignment="1">
      <alignment horizontal="center" vertical="center"/>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15" fillId="0" borderId="0" xfId="0" applyFont="1" applyAlignment="1">
      <alignment horizontal="center" vertical="center"/>
    </xf>
    <xf numFmtId="0" fontId="4" fillId="0" borderId="1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7" fillId="2" borderId="23"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left"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E601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895764</xdr:colOff>
      <xdr:row>42</xdr:row>
      <xdr:rowOff>95298</xdr:rowOff>
    </xdr:from>
    <xdr:to>
      <xdr:col>5</xdr:col>
      <xdr:colOff>0</xdr:colOff>
      <xdr:row>44</xdr:row>
      <xdr:rowOff>0</xdr:rowOff>
    </xdr:to>
    <xdr:pic>
      <xdr:nvPicPr>
        <xdr:cNvPr id="3" name="Image 2">
          <a:extLst>
            <a:ext uri="{FF2B5EF4-FFF2-40B4-BE49-F238E27FC236}">
              <a16:creationId xmlns:a16="http://schemas.microsoft.com/office/drawing/2014/main" id="{128EAD2B-8763-4F68-8450-EFBBA02BCC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2514" y="9315498"/>
          <a:ext cx="3314286" cy="3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46</xdr:row>
      <xdr:rowOff>11955</xdr:rowOff>
    </xdr:from>
    <xdr:to>
      <xdr:col>4</xdr:col>
      <xdr:colOff>1187830</xdr:colOff>
      <xdr:row>47</xdr:row>
      <xdr:rowOff>154782</xdr:rowOff>
    </xdr:to>
    <xdr:pic>
      <xdr:nvPicPr>
        <xdr:cNvPr id="3" name="Image 2">
          <a:extLst>
            <a:ext uri="{FF2B5EF4-FFF2-40B4-BE49-F238E27FC236}">
              <a16:creationId xmlns:a16="http://schemas.microsoft.com/office/drawing/2014/main" id="{B36D3955-293B-463A-956C-710E8816DC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3594" y="9894143"/>
          <a:ext cx="3314286" cy="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2191164</xdr:colOff>
      <xdr:row>17</xdr:row>
      <xdr:rowOff>152448</xdr:rowOff>
    </xdr:from>
    <xdr:to>
      <xdr:col>2</xdr:col>
      <xdr:colOff>2419350</xdr:colOff>
      <xdr:row>19</xdr:row>
      <xdr:rowOff>57150</xdr:rowOff>
    </xdr:to>
    <xdr:pic>
      <xdr:nvPicPr>
        <xdr:cNvPr id="3" name="Image 2">
          <a:extLst>
            <a:ext uri="{FF2B5EF4-FFF2-40B4-BE49-F238E27FC236}">
              <a16:creationId xmlns:a16="http://schemas.microsoft.com/office/drawing/2014/main" id="{8693DE03-1CD3-4479-A5B1-2EEB4D7D32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7989" y="6143673"/>
          <a:ext cx="3314286" cy="3809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egisocial.fr/reperes-sociaux/taux-cotisations-accident-du-travail-2020.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40844-C7B5-49DA-9C55-A4D67E30F9FD}">
  <sheetPr>
    <pageSetUpPr fitToPage="1"/>
  </sheetPr>
  <dimension ref="A2:O45"/>
  <sheetViews>
    <sheetView showGridLines="0" tabSelected="1" topLeftCell="A13" zoomScaleNormal="100" workbookViewId="0">
      <selection activeCell="E15" sqref="E15:F15"/>
    </sheetView>
  </sheetViews>
  <sheetFormatPr baseColWidth="10" defaultColWidth="11.28515625" defaultRowHeight="18.75" x14ac:dyDescent="0.3"/>
  <cols>
    <col min="1" max="1" width="1.140625" style="2" customWidth="1"/>
    <col min="2" max="2" width="8.140625" style="2" customWidth="1"/>
    <col min="3" max="3" width="13.85546875" style="2" customWidth="1"/>
    <col min="4" max="4" width="28.7109375" style="2" customWidth="1"/>
    <col min="5" max="5" width="16.28515625" style="2" customWidth="1"/>
    <col min="6" max="6" width="18.5703125" style="2" customWidth="1"/>
    <col min="7" max="7" width="1.140625" style="2" customWidth="1"/>
    <col min="8" max="14" width="11.28515625" style="2"/>
    <col min="15" max="15" width="11.42578125" style="2" hidden="1" customWidth="1"/>
    <col min="16" max="16384" width="11.28515625" style="2"/>
  </cols>
  <sheetData>
    <row r="2" spans="1:15" ht="8.4499999999999993" customHeight="1" x14ac:dyDescent="0.3">
      <c r="A2" s="32"/>
      <c r="B2" s="32"/>
      <c r="C2" s="32"/>
      <c r="D2" s="32"/>
      <c r="E2" s="32"/>
      <c r="F2" s="32"/>
      <c r="G2" s="32"/>
    </row>
    <row r="3" spans="1:15" ht="18.75" customHeight="1" x14ac:dyDescent="0.3">
      <c r="A3" s="32"/>
      <c r="B3" s="72" t="s">
        <v>49</v>
      </c>
      <c r="C3" s="72"/>
      <c r="D3" s="72"/>
      <c r="E3" s="72"/>
      <c r="F3" s="72"/>
      <c r="G3" s="32"/>
    </row>
    <row r="4" spans="1:15" ht="18.75" customHeight="1" x14ac:dyDescent="0.3">
      <c r="A4" s="32"/>
      <c r="B4" s="72"/>
      <c r="C4" s="72"/>
      <c r="D4" s="72"/>
      <c r="E4" s="72"/>
      <c r="F4" s="72"/>
      <c r="G4" s="32"/>
    </row>
    <row r="5" spans="1:15" ht="18.75" customHeight="1" x14ac:dyDescent="0.3">
      <c r="A5" s="32"/>
      <c r="B5" s="72"/>
      <c r="C5" s="72"/>
      <c r="D5" s="72"/>
      <c r="E5" s="72"/>
      <c r="F5" s="72"/>
      <c r="G5" s="32"/>
    </row>
    <row r="6" spans="1:15" ht="18.75" customHeight="1" x14ac:dyDescent="0.3">
      <c r="A6" s="32"/>
      <c r="B6" s="72"/>
      <c r="C6" s="72"/>
      <c r="D6" s="72"/>
      <c r="E6" s="72"/>
      <c r="F6" s="72"/>
      <c r="G6" s="32"/>
    </row>
    <row r="7" spans="1:15" ht="8.4499999999999993" customHeight="1" x14ac:dyDescent="0.3">
      <c r="A7" s="32"/>
      <c r="B7" s="32"/>
      <c r="C7" s="32"/>
      <c r="D7" s="32"/>
      <c r="E7" s="32"/>
      <c r="F7" s="32"/>
      <c r="G7" s="32"/>
    </row>
    <row r="8" spans="1:15" ht="14.1" customHeight="1" x14ac:dyDescent="0.3"/>
    <row r="9" spans="1:15" ht="35.1" customHeight="1" x14ac:dyDescent="0.3">
      <c r="A9" s="77" t="s">
        <v>54</v>
      </c>
      <c r="B9" s="77"/>
      <c r="C9" s="77"/>
      <c r="D9" s="77"/>
      <c r="E9" s="77"/>
      <c r="F9" s="77"/>
    </row>
    <row r="10" spans="1:15" ht="35.1" customHeight="1" x14ac:dyDescent="0.3">
      <c r="A10" s="77"/>
      <c r="B10" s="77"/>
      <c r="C10" s="77"/>
      <c r="D10" s="77"/>
      <c r="E10" s="77"/>
      <c r="F10" s="77"/>
    </row>
    <row r="11" spans="1:15" ht="14.1" customHeight="1" x14ac:dyDescent="0.3"/>
    <row r="12" spans="1:15" s="3" customFormat="1" ht="26.25" customHeight="1" x14ac:dyDescent="0.25">
      <c r="B12" s="74" t="s">
        <v>48</v>
      </c>
      <c r="C12" s="74"/>
      <c r="D12" s="74"/>
      <c r="E12" s="74"/>
      <c r="F12" s="74"/>
    </row>
    <row r="13" spans="1:15" x14ac:dyDescent="0.3">
      <c r="F13" s="25"/>
    </row>
    <row r="14" spans="1:15" s="3" customFormat="1" x14ac:dyDescent="0.25">
      <c r="B14" s="3" t="s">
        <v>41</v>
      </c>
      <c r="E14" s="76"/>
      <c r="F14" s="76"/>
      <c r="O14" s="3" t="s">
        <v>3</v>
      </c>
    </row>
    <row r="15" spans="1:15" s="3" customFormat="1" x14ac:dyDescent="0.25">
      <c r="B15" s="3" t="s">
        <v>2</v>
      </c>
      <c r="E15" s="75"/>
      <c r="F15" s="75"/>
      <c r="O15" s="3" t="s">
        <v>0</v>
      </c>
    </row>
    <row r="16" spans="1:15" ht="14.1" customHeight="1" x14ac:dyDescent="0.3">
      <c r="O16" s="2" t="s">
        <v>1</v>
      </c>
    </row>
    <row r="17" spans="2:15" ht="14.1" customHeight="1" x14ac:dyDescent="0.3">
      <c r="O17" s="2" t="s">
        <v>53</v>
      </c>
    </row>
    <row r="18" spans="2:15" s="3" customFormat="1" ht="26.25" customHeight="1" x14ac:dyDescent="0.25">
      <c r="B18" s="74" t="s">
        <v>47</v>
      </c>
      <c r="C18" s="74"/>
      <c r="D18" s="74"/>
      <c r="E18" s="74"/>
      <c r="F18" s="74"/>
      <c r="J18" s="33"/>
    </row>
    <row r="19" spans="2:15" ht="14.1" customHeight="1" x14ac:dyDescent="0.3">
      <c r="F19" s="25"/>
    </row>
    <row r="20" spans="2:15" x14ac:dyDescent="0.3">
      <c r="B20" s="2" t="s">
        <v>42</v>
      </c>
      <c r="E20" s="26" t="str">
        <f>IF(ISBLANK(REVENUS),"",REVENUS)</f>
        <v/>
      </c>
      <c r="F20" s="27" t="s">
        <v>43</v>
      </c>
    </row>
    <row r="21" spans="2:15" x14ac:dyDescent="0.3">
      <c r="B21" s="2" t="s">
        <v>44</v>
      </c>
      <c r="C21" s="26" t="str">
        <f>IF(ISBLANK(NATURE_ACTIVITE),"",TOT_COT_SOC_TNS+TOT_COT_FISC_TNS+FORM_PROF_TNS)</f>
        <v/>
      </c>
      <c r="D21" s="2" t="s">
        <v>50</v>
      </c>
    </row>
    <row r="22" spans="2:15" x14ac:dyDescent="0.3">
      <c r="B22" s="2" t="s">
        <v>51</v>
      </c>
      <c r="C22" s="26"/>
      <c r="E22" s="34" t="str">
        <f>IF(OR(ISBLANK(NATURE_ACTIVITE),REVENUS=0),"",(TOT_COT_SOC_TNS+TOT_COT_FISC_TNS+FORM_PROF_TNS)/REVENUS)</f>
        <v/>
      </c>
    </row>
    <row r="23" spans="2:15" ht="14.1" customHeight="1" x14ac:dyDescent="0.3">
      <c r="F23" s="4"/>
    </row>
    <row r="24" spans="2:15" ht="14.1" customHeight="1" x14ac:dyDescent="0.3">
      <c r="F24" s="25"/>
    </row>
    <row r="25" spans="2:15" s="3" customFormat="1" ht="26.25" customHeight="1" x14ac:dyDescent="0.25">
      <c r="B25" s="74" t="s">
        <v>46</v>
      </c>
      <c r="C25" s="74"/>
      <c r="D25" s="74"/>
      <c r="E25" s="74"/>
      <c r="F25" s="74"/>
    </row>
    <row r="26" spans="2:15" ht="14.1" customHeight="1" x14ac:dyDescent="0.3">
      <c r="F26" s="25"/>
    </row>
    <row r="27" spans="2:15" x14ac:dyDescent="0.3">
      <c r="B27" s="73" t="s">
        <v>55</v>
      </c>
      <c r="C27" s="73"/>
      <c r="D27" s="73"/>
      <c r="E27" s="29"/>
      <c r="F27" s="30">
        <f>IF(ISBLANK(NATURE_ACTIVITE),0,TOT_COT_SOC_TNS+FORM_PROF_TNS)</f>
        <v>0</v>
      </c>
    </row>
    <row r="28" spans="2:15" ht="5.0999999999999996" customHeight="1" x14ac:dyDescent="0.3">
      <c r="E28" s="25"/>
    </row>
    <row r="29" spans="2:15" x14ac:dyDescent="0.3">
      <c r="B29" s="1" t="s">
        <v>5</v>
      </c>
      <c r="C29" s="1"/>
      <c r="D29" s="1"/>
      <c r="E29" s="70">
        <f>IF(ISBLANK(NATURE_ACTIVITE),0,'Calcul TNS'!F14)</f>
        <v>0</v>
      </c>
    </row>
    <row r="30" spans="2:15" x14ac:dyDescent="0.3">
      <c r="B30" s="1" t="s">
        <v>6</v>
      </c>
      <c r="C30" s="1"/>
      <c r="D30" s="1"/>
      <c r="E30" s="70">
        <f>IF(ISBLANK(NATURE_ACTIVITE),0,'Calcul TNS'!F12)</f>
        <v>0</v>
      </c>
    </row>
    <row r="31" spans="2:15" x14ac:dyDescent="0.3">
      <c r="B31" s="1" t="s">
        <v>7</v>
      </c>
      <c r="C31" s="1"/>
      <c r="D31" s="1"/>
      <c r="E31" s="70">
        <f>IF(ISBLANK(NATURE_ACTIVITE),0,'Calcul TNS'!F9+'Calcul TNS'!F10)</f>
        <v>0</v>
      </c>
    </row>
    <row r="32" spans="2:15" x14ac:dyDescent="0.3">
      <c r="B32" s="1" t="s">
        <v>8</v>
      </c>
      <c r="C32" s="1"/>
      <c r="D32" s="1"/>
      <c r="E32" s="70">
        <f>IF(ISBLANK(NATURE_ACTIVITE),0,'Calcul TNS'!F17+'Calcul TNS'!F18+'Calcul TNS'!F19+'Calcul TNS'!F20)</f>
        <v>0</v>
      </c>
      <c r="H32" s="25"/>
    </row>
    <row r="33" spans="2:6" x14ac:dyDescent="0.3">
      <c r="B33" s="1" t="s">
        <v>9</v>
      </c>
      <c r="C33" s="1"/>
      <c r="D33" s="1"/>
      <c r="E33" s="70">
        <f>IF(ISBLANK(NATURE_ACTIVITE),0,'Calcul TNS'!F22)</f>
        <v>0</v>
      </c>
    </row>
    <row r="34" spans="2:6" x14ac:dyDescent="0.3">
      <c r="B34" s="1" t="s">
        <v>10</v>
      </c>
      <c r="C34" s="1"/>
      <c r="D34" s="1"/>
      <c r="E34" s="70">
        <f>FORM_PROF_TNS</f>
        <v>0</v>
      </c>
    </row>
    <row r="35" spans="2:6" ht="14.1" customHeight="1" x14ac:dyDescent="0.3">
      <c r="F35" s="25"/>
    </row>
    <row r="36" spans="2:6" x14ac:dyDescent="0.3">
      <c r="B36" s="31" t="s">
        <v>45</v>
      </c>
      <c r="C36" s="31"/>
      <c r="D36" s="31"/>
      <c r="E36" s="31"/>
      <c r="F36" s="30">
        <f>IF(ISBLANK(NATURE_ACTIVITE),0,TOT_COT_FISC_TNS)</f>
        <v>0</v>
      </c>
    </row>
    <row r="37" spans="2:6" ht="5.0999999999999996" customHeight="1" x14ac:dyDescent="0.3">
      <c r="F37" s="25"/>
    </row>
    <row r="38" spans="2:6" x14ac:dyDescent="0.3">
      <c r="B38" s="1" t="s">
        <v>52</v>
      </c>
      <c r="C38" s="1"/>
      <c r="D38" s="1"/>
      <c r="E38" s="28">
        <f>IF(ISBLANK(NATURE_ACTIVITE),0,'Calcul TNS'!F29)</f>
        <v>0</v>
      </c>
    </row>
    <row r="39" spans="2:6" x14ac:dyDescent="0.3">
      <c r="B39" s="1" t="s">
        <v>4</v>
      </c>
      <c r="C39" s="1"/>
      <c r="D39" s="1"/>
      <c r="E39" s="28">
        <f>IF(ISBLANK(NATURE_ACTIVITE),0,'Calcul TNS'!F28)</f>
        <v>0</v>
      </c>
    </row>
    <row r="40" spans="2:6" ht="14.1" customHeight="1" x14ac:dyDescent="0.3">
      <c r="F40" s="25"/>
    </row>
    <row r="41" spans="2:6" x14ac:dyDescent="0.3">
      <c r="B41" s="73" t="s">
        <v>117</v>
      </c>
      <c r="C41" s="73"/>
      <c r="D41" s="73"/>
      <c r="E41" s="29"/>
      <c r="F41" s="30">
        <f>IF(ISBLANK(NATURE_ACTIVITE),0,COUT_TOTAL_COT_FISC_SOC_TNS)</f>
        <v>0</v>
      </c>
    </row>
    <row r="42" spans="2:6" x14ac:dyDescent="0.3">
      <c r="B42" s="71"/>
      <c r="C42" s="71"/>
      <c r="D42" s="71"/>
      <c r="E42" s="71"/>
      <c r="F42" s="71"/>
    </row>
    <row r="43" spans="2:6" x14ac:dyDescent="0.3">
      <c r="B43" s="71"/>
      <c r="C43" s="71"/>
      <c r="D43" s="71"/>
      <c r="E43" s="71"/>
      <c r="F43" s="71"/>
    </row>
    <row r="44" spans="2:6" x14ac:dyDescent="0.3">
      <c r="F44" s="25"/>
    </row>
    <row r="45" spans="2:6" x14ac:dyDescent="0.3">
      <c r="F45" s="4"/>
    </row>
  </sheetData>
  <sheetProtection algorithmName="SHA-512" hashValue="TAfZgQKpPPVPNNBZ34sXzcyVAKjbwGpoD3Ta1I6pEV4QhC/uP66ZkxR3sEdpwKxPwcUTeHnHt6IxhPAP+ZsXEQ==" saltValue="PaiI8Msuk+NrxK0iDjtQuA==" spinCount="100000" sheet="1" objects="1" scenarios="1"/>
  <mergeCells count="10">
    <mergeCell ref="B42:F43"/>
    <mergeCell ref="B3:F6"/>
    <mergeCell ref="B27:D27"/>
    <mergeCell ref="B41:D41"/>
    <mergeCell ref="B25:F25"/>
    <mergeCell ref="B18:F18"/>
    <mergeCell ref="B12:F12"/>
    <mergeCell ref="E15:F15"/>
    <mergeCell ref="E14:F14"/>
    <mergeCell ref="A9:F10"/>
  </mergeCells>
  <dataValidations count="1">
    <dataValidation type="list" allowBlank="1" showInputMessage="1" showErrorMessage="1" sqref="E15:F15" xr:uid="{FC70E313-579D-423D-B3F5-F80127CC473C}">
      <formula1>$O$15:$O$18</formula1>
    </dataValidation>
  </dataValidations>
  <printOptions horizontalCentered="1" verticalCentered="1"/>
  <pageMargins left="0.70866141732283472" right="0.70866141732283472" top="0.74803149606299213" bottom="0.74803149606299213" header="0.31496062992125984" footer="0.31496062992125984"/>
  <pageSetup paperSize="9" scale="96"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6D321-526B-4CDC-9B90-D1078AF550FB}">
  <sheetPr>
    <pageSetUpPr fitToPage="1"/>
  </sheetPr>
  <dimension ref="A2:O48"/>
  <sheetViews>
    <sheetView showGridLines="0" zoomScaleNormal="100" zoomScalePageLayoutView="80" workbookViewId="0">
      <selection activeCell="E14" sqref="E14:F14"/>
    </sheetView>
  </sheetViews>
  <sheetFormatPr baseColWidth="10" defaultColWidth="10.28515625" defaultRowHeight="18.75" x14ac:dyDescent="0.3"/>
  <cols>
    <col min="1" max="1" width="1.140625" style="2" customWidth="1"/>
    <col min="2" max="2" width="12" style="2" customWidth="1"/>
    <col min="3" max="3" width="16" style="2" customWidth="1"/>
    <col min="4" max="4" width="28.7109375" style="2" customWidth="1"/>
    <col min="5" max="5" width="17.85546875" style="2" customWidth="1"/>
    <col min="6" max="6" width="18.5703125" style="2" customWidth="1"/>
    <col min="7" max="7" width="1.140625" style="2" customWidth="1"/>
    <col min="8" max="14" width="10.28515625" style="2"/>
    <col min="15" max="15" width="11.42578125" style="2" hidden="1" customWidth="1"/>
    <col min="16" max="16384" width="10.28515625" style="2"/>
  </cols>
  <sheetData>
    <row r="2" spans="1:15" ht="8.4499999999999993" customHeight="1" x14ac:dyDescent="0.3">
      <c r="A2" s="32"/>
      <c r="B2" s="32"/>
      <c r="C2" s="32"/>
      <c r="D2" s="32"/>
      <c r="E2" s="32"/>
      <c r="F2" s="32"/>
      <c r="G2" s="32"/>
    </row>
    <row r="3" spans="1:15" ht="18.75" customHeight="1" x14ac:dyDescent="0.3">
      <c r="A3" s="32"/>
      <c r="B3" s="72" t="s">
        <v>58</v>
      </c>
      <c r="C3" s="72"/>
      <c r="D3" s="72"/>
      <c r="E3" s="72"/>
      <c r="F3" s="72"/>
      <c r="G3" s="32"/>
    </row>
    <row r="4" spans="1:15" ht="18.75" customHeight="1" x14ac:dyDescent="0.3">
      <c r="A4" s="32"/>
      <c r="B4" s="72"/>
      <c r="C4" s="72"/>
      <c r="D4" s="72"/>
      <c r="E4" s="72"/>
      <c r="F4" s="72"/>
      <c r="G4" s="32"/>
    </row>
    <row r="5" spans="1:15" ht="18.75" customHeight="1" x14ac:dyDescent="0.3">
      <c r="A5" s="32"/>
      <c r="B5" s="72"/>
      <c r="C5" s="72"/>
      <c r="D5" s="72"/>
      <c r="E5" s="72"/>
      <c r="F5" s="72"/>
      <c r="G5" s="32"/>
    </row>
    <row r="6" spans="1:15" ht="18.75" customHeight="1" x14ac:dyDescent="0.3">
      <c r="A6" s="32"/>
      <c r="B6" s="72"/>
      <c r="C6" s="72"/>
      <c r="D6" s="72"/>
      <c r="E6" s="72"/>
      <c r="F6" s="72"/>
      <c r="G6" s="32"/>
    </row>
    <row r="7" spans="1:15" ht="8.4499999999999993" customHeight="1" x14ac:dyDescent="0.3">
      <c r="A7" s="32"/>
      <c r="B7" s="32"/>
      <c r="C7" s="32"/>
      <c r="D7" s="32"/>
      <c r="E7" s="32"/>
      <c r="F7" s="32"/>
      <c r="G7" s="32"/>
    </row>
    <row r="8" spans="1:15" ht="14.1" customHeight="1" x14ac:dyDescent="0.3"/>
    <row r="9" spans="1:15" ht="28.35" customHeight="1" x14ac:dyDescent="0.3">
      <c r="A9" s="78" t="s">
        <v>114</v>
      </c>
      <c r="B9" s="78"/>
      <c r="C9" s="78"/>
      <c r="D9" s="78"/>
      <c r="E9" s="78"/>
      <c r="F9" s="78"/>
    </row>
    <row r="10" spans="1:15" ht="28.35" customHeight="1" x14ac:dyDescent="0.3">
      <c r="A10" s="78"/>
      <c r="B10" s="78"/>
      <c r="C10" s="78"/>
      <c r="D10" s="78"/>
      <c r="E10" s="78"/>
      <c r="F10" s="78"/>
    </row>
    <row r="11" spans="1:15" ht="14.1" customHeight="1" x14ac:dyDescent="0.3"/>
    <row r="12" spans="1:15" s="3" customFormat="1" ht="26.25" customHeight="1" x14ac:dyDescent="0.25">
      <c r="B12" s="74" t="s">
        <v>48</v>
      </c>
      <c r="C12" s="74"/>
      <c r="D12" s="74"/>
      <c r="E12" s="74"/>
      <c r="F12" s="74"/>
    </row>
    <row r="13" spans="1:15" x14ac:dyDescent="0.3">
      <c r="F13" s="25"/>
    </row>
    <row r="14" spans="1:15" s="3" customFormat="1" x14ac:dyDescent="0.25">
      <c r="B14" s="3" t="s">
        <v>71</v>
      </c>
      <c r="E14" s="76"/>
      <c r="F14" s="76"/>
      <c r="O14" s="3" t="s">
        <v>3</v>
      </c>
    </row>
    <row r="15" spans="1:15" s="3" customFormat="1" x14ac:dyDescent="0.25">
      <c r="B15" s="3" t="s">
        <v>81</v>
      </c>
      <c r="D15" s="45" t="s">
        <v>82</v>
      </c>
      <c r="E15" s="79"/>
      <c r="F15" s="79"/>
      <c r="O15" s="3" t="s">
        <v>3</v>
      </c>
    </row>
    <row r="16" spans="1:15" s="3" customFormat="1" x14ac:dyDescent="0.25">
      <c r="B16" s="3" t="s">
        <v>115</v>
      </c>
      <c r="D16" s="45"/>
      <c r="E16" s="80" t="str">
        <f>IF(ISBLANK(SAL_BRUT_SAL),"",SAL_NET)</f>
        <v/>
      </c>
      <c r="F16" s="80"/>
      <c r="O16" s="3" t="s">
        <v>3</v>
      </c>
    </row>
    <row r="17" spans="2:15" ht="14.1" customHeight="1" x14ac:dyDescent="0.3">
      <c r="O17" s="2" t="s">
        <v>1</v>
      </c>
    </row>
    <row r="18" spans="2:15" ht="14.1" customHeight="1" x14ac:dyDescent="0.3">
      <c r="O18" s="2" t="s">
        <v>53</v>
      </c>
    </row>
    <row r="19" spans="2:15" s="3" customFormat="1" ht="26.25" customHeight="1" x14ac:dyDescent="0.25">
      <c r="B19" s="74" t="s">
        <v>47</v>
      </c>
      <c r="C19" s="74"/>
      <c r="D19" s="74"/>
      <c r="E19" s="74"/>
      <c r="F19" s="74"/>
      <c r="J19" s="33"/>
    </row>
    <row r="20" spans="2:15" ht="14.1" customHeight="1" x14ac:dyDescent="0.3">
      <c r="F20" s="25"/>
    </row>
    <row r="21" spans="2:15" ht="18.600000000000001" customHeight="1" x14ac:dyDescent="0.3">
      <c r="B21" s="3" t="s">
        <v>78</v>
      </c>
      <c r="C21" s="3"/>
      <c r="D21" s="3"/>
      <c r="E21" s="42" t="str">
        <f>IF(ISBLANK(SAL_BRUT_SAL),"",SAL_BRUT_SAL)</f>
        <v/>
      </c>
      <c r="F21" s="27" t="s">
        <v>74</v>
      </c>
    </row>
    <row r="22" spans="2:15" ht="18.600000000000001" customHeight="1" x14ac:dyDescent="0.3">
      <c r="B22" s="3" t="s">
        <v>75</v>
      </c>
      <c r="C22" s="42" t="str">
        <f>IF(ISBLANK(SAL_BRUT_SAL),"",TOT_COT_SOC_SAL)</f>
        <v/>
      </c>
      <c r="D22" s="3" t="s">
        <v>76</v>
      </c>
      <c r="E22" s="3"/>
    </row>
    <row r="23" spans="2:15" ht="18.600000000000001" customHeight="1" x14ac:dyDescent="0.3">
      <c r="B23" s="42" t="str">
        <f>IF(ISBLANK(SAL_BRUT_SAL),"",SAL_NET)</f>
        <v/>
      </c>
      <c r="C23" s="3" t="s">
        <v>79</v>
      </c>
      <c r="D23" s="3"/>
      <c r="E23" s="3"/>
      <c r="F23" s="43" t="str">
        <f>IF(ISBLANK(SAL_BRUT_SAL),"",TOT_COT_SOC_PAT)</f>
        <v/>
      </c>
    </row>
    <row r="24" spans="2:15" ht="18.600000000000001" customHeight="1" x14ac:dyDescent="0.3">
      <c r="B24" s="3" t="s">
        <v>77</v>
      </c>
      <c r="C24" s="41"/>
      <c r="D24" s="3"/>
      <c r="E24" s="41" t="str">
        <f>IF(SAL_BRUT_SAL=0,"",(TOT_COT_SOC_PAT+TOT_COT_SOC_SAL)/SAL_BRUT_SAL)</f>
        <v/>
      </c>
      <c r="F24" s="25"/>
    </row>
    <row r="25" spans="2:15" ht="14.1" customHeight="1" x14ac:dyDescent="0.3">
      <c r="F25" s="44"/>
    </row>
    <row r="26" spans="2:15" ht="14.1" customHeight="1" x14ac:dyDescent="0.3">
      <c r="F26" s="25"/>
    </row>
    <row r="27" spans="2:15" s="3" customFormat="1" ht="26.25" customHeight="1" x14ac:dyDescent="0.25">
      <c r="B27" s="74" t="s">
        <v>46</v>
      </c>
      <c r="C27" s="74"/>
      <c r="D27" s="74"/>
      <c r="E27" s="74"/>
      <c r="F27" s="74"/>
    </row>
    <row r="28" spans="2:15" ht="14.1" customHeight="1" x14ac:dyDescent="0.3">
      <c r="F28" s="25"/>
    </row>
    <row r="29" spans="2:15" ht="14.1" customHeight="1" x14ac:dyDescent="0.3">
      <c r="F29" s="25"/>
    </row>
    <row r="30" spans="2:15" x14ac:dyDescent="0.3">
      <c r="B30" s="73" t="s">
        <v>55</v>
      </c>
      <c r="C30" s="73"/>
      <c r="D30" s="73"/>
      <c r="E30" s="35"/>
      <c r="F30" s="30">
        <f>SUM(E32:E36)</f>
        <v>0</v>
      </c>
    </row>
    <row r="31" spans="2:15" ht="5.0999999999999996" customHeight="1" x14ac:dyDescent="0.3">
      <c r="E31" s="25"/>
    </row>
    <row r="32" spans="2:15" x14ac:dyDescent="0.3">
      <c r="B32" s="1" t="s">
        <v>5</v>
      </c>
      <c r="C32" s="1"/>
      <c r="D32" s="1"/>
      <c r="E32" s="28">
        <f>'Calcul salarié'!H17+'Calcul salarié'!K17</f>
        <v>0</v>
      </c>
    </row>
    <row r="33" spans="2:6" x14ac:dyDescent="0.3">
      <c r="B33" s="1" t="s">
        <v>98</v>
      </c>
      <c r="C33" s="1"/>
      <c r="D33" s="1"/>
      <c r="E33" s="28">
        <f>+'Calcul salarié'!H5+'Calcul salarié'!K5+'Calcul salarié'!K22</f>
        <v>0</v>
      </c>
    </row>
    <row r="34" spans="2:6" x14ac:dyDescent="0.3">
      <c r="B34" s="1" t="s">
        <v>8</v>
      </c>
      <c r="C34" s="1"/>
      <c r="D34" s="1"/>
      <c r="E34" s="28">
        <f>SUM('Calcul salarié'!H6:H15)+SUM('Calcul salarié'!K6:K15)</f>
        <v>0</v>
      </c>
    </row>
    <row r="35" spans="2:6" x14ac:dyDescent="0.3">
      <c r="B35" s="1" t="s">
        <v>80</v>
      </c>
      <c r="C35" s="1"/>
      <c r="D35" s="1"/>
      <c r="E35" s="28">
        <f>'Calcul salarié'!H16+'Calcul salarié'!H18+'Calcul salarié'!H19+'Calcul salarié'!K19+'Calcul salarié'!K18+'Calcul salarié'!K16</f>
        <v>0</v>
      </c>
    </row>
    <row r="36" spans="2:6" ht="14.1" customHeight="1" x14ac:dyDescent="0.3">
      <c r="B36" s="1"/>
      <c r="C36" s="1"/>
      <c r="D36" s="1"/>
      <c r="E36" s="28"/>
    </row>
    <row r="37" spans="2:6" ht="14.1" customHeight="1" x14ac:dyDescent="0.3">
      <c r="F37" s="25"/>
    </row>
    <row r="38" spans="2:6" x14ac:dyDescent="0.3">
      <c r="B38" s="31" t="s">
        <v>45</v>
      </c>
      <c r="C38" s="31"/>
      <c r="D38" s="31"/>
      <c r="E38" s="31"/>
      <c r="F38" s="30">
        <f>SUM(E40:E41)</f>
        <v>0</v>
      </c>
    </row>
    <row r="39" spans="2:6" ht="5.0999999999999996" customHeight="1" x14ac:dyDescent="0.3">
      <c r="F39" s="25"/>
    </row>
    <row r="40" spans="2:6" x14ac:dyDescent="0.3">
      <c r="B40" s="1" t="s">
        <v>52</v>
      </c>
      <c r="C40" s="1"/>
      <c r="D40" s="1"/>
      <c r="E40" s="28">
        <f>+'Calcul salarié'!H21</f>
        <v>0</v>
      </c>
    </row>
    <row r="41" spans="2:6" x14ac:dyDescent="0.3">
      <c r="B41" s="1" t="s">
        <v>4</v>
      </c>
      <c r="C41" s="1"/>
      <c r="D41" s="1"/>
      <c r="E41" s="28">
        <f>+'Calcul salarié'!H20</f>
        <v>0</v>
      </c>
    </row>
    <row r="42" spans="2:6" ht="14.1" customHeight="1" x14ac:dyDescent="0.3">
      <c r="B42" s="1"/>
      <c r="C42" s="1"/>
      <c r="D42" s="1"/>
      <c r="E42" s="28"/>
    </row>
    <row r="43" spans="2:6" ht="14.1" customHeight="1" x14ac:dyDescent="0.3">
      <c r="F43" s="25"/>
    </row>
    <row r="44" spans="2:6" x14ac:dyDescent="0.3">
      <c r="B44" s="73" t="s">
        <v>11</v>
      </c>
      <c r="C44" s="73"/>
      <c r="D44" s="73"/>
      <c r="E44" s="35"/>
      <c r="F44" s="30">
        <f>+F38+F30</f>
        <v>0</v>
      </c>
    </row>
    <row r="45" spans="2:6" x14ac:dyDescent="0.3">
      <c r="F45" s="25"/>
    </row>
    <row r="46" spans="2:6" x14ac:dyDescent="0.3">
      <c r="B46" s="71"/>
      <c r="C46" s="71"/>
      <c r="D46" s="71"/>
      <c r="E46" s="71"/>
      <c r="F46" s="71"/>
    </row>
    <row r="47" spans="2:6" x14ac:dyDescent="0.3">
      <c r="B47" s="71"/>
      <c r="C47" s="71"/>
      <c r="D47" s="71"/>
      <c r="E47" s="71"/>
      <c r="F47" s="71"/>
    </row>
    <row r="48" spans="2:6" x14ac:dyDescent="0.3">
      <c r="B48" s="71"/>
      <c r="C48" s="71"/>
      <c r="D48" s="71"/>
      <c r="E48" s="71"/>
      <c r="F48" s="71"/>
    </row>
  </sheetData>
  <sheetProtection algorithmName="SHA-512" hashValue="Bxv2VaMEbqsrpz/1GOBmgBvdrg1CNtQnpUPg2EEYqUPpRmqn4aahnXKJJtz18eQJIEyBeqo35L9q/0hFvn3IEA==" saltValue="Uh2xY70bWb7gLta/9jtBLg==" spinCount="100000" sheet="1" objects="1" scenarios="1"/>
  <mergeCells count="11">
    <mergeCell ref="B46:F48"/>
    <mergeCell ref="B27:F27"/>
    <mergeCell ref="B30:D30"/>
    <mergeCell ref="B44:D44"/>
    <mergeCell ref="B3:F6"/>
    <mergeCell ref="A9:F10"/>
    <mergeCell ref="B12:F12"/>
    <mergeCell ref="E14:F14"/>
    <mergeCell ref="B19:F19"/>
    <mergeCell ref="E15:F15"/>
    <mergeCell ref="E16:F16"/>
  </mergeCells>
  <hyperlinks>
    <hyperlink ref="D15" r:id="rId1" display=" accident du travail" xr:uid="{8B6AF0FB-9184-4B10-83E8-8576C42B8AAE}"/>
  </hyperlinks>
  <printOptions horizontalCentered="1" verticalCentered="1"/>
  <pageMargins left="0.70866141732283472" right="0.70866141732283472" top="0.74803149606299213" bottom="0.74803149606299213" header="0.31496062992125984" footer="0.31496062992125984"/>
  <pageSetup paperSize="9" scale="91" orientation="portrait" horizontalDpi="0" verticalDpi="0"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05A4-53AF-4F09-BDF9-10F9A838DFFD}">
  <sheetPr>
    <pageSetUpPr fitToPage="1"/>
  </sheetPr>
  <dimension ref="A1:D19"/>
  <sheetViews>
    <sheetView showGridLines="0" zoomScaleNormal="100" workbookViewId="0">
      <selection activeCell="A3" sqref="A3"/>
    </sheetView>
  </sheetViews>
  <sheetFormatPr baseColWidth="10" defaultColWidth="9.7109375" defaultRowHeight="18.75" x14ac:dyDescent="0.25"/>
  <cols>
    <col min="1" max="1" width="17.7109375" style="3" customWidth="1"/>
    <col min="2" max="2" width="43.140625" style="47" customWidth="1"/>
    <col min="3" max="4" width="40.140625" style="3" customWidth="1"/>
    <col min="5" max="16384" width="9.7109375" style="3"/>
  </cols>
  <sheetData>
    <row r="1" spans="1:4" ht="39" customHeight="1" x14ac:dyDescent="0.25">
      <c r="A1" s="89" t="s">
        <v>99</v>
      </c>
      <c r="B1" s="89"/>
      <c r="C1" s="89"/>
      <c r="D1" s="89"/>
    </row>
    <row r="2" spans="1:4" ht="17.25" customHeight="1" thickBot="1" x14ac:dyDescent="0.3">
      <c r="A2" s="51"/>
      <c r="B2" s="52"/>
      <c r="C2" s="51"/>
      <c r="D2" s="51"/>
    </row>
    <row r="3" spans="1:4" s="47" customFormat="1" ht="63.75" customHeight="1" thickBot="1" x14ac:dyDescent="0.3">
      <c r="A3" s="53" t="s">
        <v>90</v>
      </c>
      <c r="B3" s="53" t="s">
        <v>91</v>
      </c>
      <c r="C3" s="54" t="s">
        <v>112</v>
      </c>
      <c r="D3" s="53" t="s">
        <v>113</v>
      </c>
    </row>
    <row r="4" spans="1:4" ht="24" customHeight="1" x14ac:dyDescent="0.25">
      <c r="A4" s="82" t="s">
        <v>83</v>
      </c>
      <c r="B4" s="55" t="s">
        <v>111</v>
      </c>
      <c r="C4" s="90" t="s">
        <v>84</v>
      </c>
      <c r="D4" s="91"/>
    </row>
    <row r="5" spans="1:4" ht="24" customHeight="1" x14ac:dyDescent="0.25">
      <c r="A5" s="83"/>
      <c r="B5" s="56" t="s">
        <v>110</v>
      </c>
      <c r="C5" s="92" t="s">
        <v>123</v>
      </c>
      <c r="D5" s="93"/>
    </row>
    <row r="6" spans="1:4" ht="24" customHeight="1" x14ac:dyDescent="0.25">
      <c r="A6" s="83"/>
      <c r="B6" s="56" t="s">
        <v>109</v>
      </c>
      <c r="C6" s="57" t="s">
        <v>125</v>
      </c>
      <c r="D6" s="57" t="s">
        <v>124</v>
      </c>
    </row>
    <row r="7" spans="1:4" ht="45.2" customHeight="1" x14ac:dyDescent="0.25">
      <c r="A7" s="94"/>
      <c r="B7" s="69" t="s">
        <v>108</v>
      </c>
      <c r="C7" s="87" t="s">
        <v>122</v>
      </c>
      <c r="D7" s="88"/>
    </row>
    <row r="8" spans="1:4" ht="24" customHeight="1" x14ac:dyDescent="0.25">
      <c r="A8" s="83" t="s">
        <v>87</v>
      </c>
      <c r="B8" s="56" t="s">
        <v>107</v>
      </c>
      <c r="C8" s="57" t="s">
        <v>86</v>
      </c>
      <c r="D8" s="57" t="s">
        <v>85</v>
      </c>
    </row>
    <row r="9" spans="1:4" ht="24" customHeight="1" x14ac:dyDescent="0.25">
      <c r="A9" s="83"/>
      <c r="B9" s="56" t="s">
        <v>119</v>
      </c>
      <c r="C9" s="57" t="s">
        <v>86</v>
      </c>
      <c r="D9" s="57" t="s">
        <v>118</v>
      </c>
    </row>
    <row r="10" spans="1:4" ht="24" customHeight="1" x14ac:dyDescent="0.25">
      <c r="A10" s="83"/>
      <c r="B10" s="56" t="s">
        <v>106</v>
      </c>
      <c r="C10" s="57" t="s">
        <v>88</v>
      </c>
      <c r="D10" s="57" t="s">
        <v>89</v>
      </c>
    </row>
    <row r="11" spans="1:4" ht="24" customHeight="1" thickBot="1" x14ac:dyDescent="0.3">
      <c r="A11" s="84"/>
      <c r="B11" s="58" t="s">
        <v>121</v>
      </c>
      <c r="C11" s="59" t="s">
        <v>100</v>
      </c>
      <c r="D11" s="59" t="s">
        <v>101</v>
      </c>
    </row>
    <row r="12" spans="1:4" ht="24" customHeight="1" x14ac:dyDescent="0.25">
      <c r="A12" s="85" t="s">
        <v>92</v>
      </c>
      <c r="B12" s="60" t="s">
        <v>105</v>
      </c>
      <c r="C12" s="61" t="s">
        <v>88</v>
      </c>
      <c r="D12" s="62" t="s">
        <v>93</v>
      </c>
    </row>
    <row r="13" spans="1:4" ht="24" customHeight="1" thickBot="1" x14ac:dyDescent="0.3">
      <c r="A13" s="86"/>
      <c r="B13" s="63" t="s">
        <v>120</v>
      </c>
      <c r="C13" s="64" t="s">
        <v>94</v>
      </c>
      <c r="D13" s="59" t="s">
        <v>95</v>
      </c>
    </row>
    <row r="14" spans="1:4" ht="24" customHeight="1" x14ac:dyDescent="0.25">
      <c r="A14" s="82" t="s">
        <v>96</v>
      </c>
      <c r="B14" s="55" t="s">
        <v>104</v>
      </c>
      <c r="C14" s="65">
        <f>(IF(ISBLANK(SAL_BRUT_SAL),0,(TOT_COT_SOC_PAT+TOT_COT_SOC_SAL)/SAL_NET))</f>
        <v>0</v>
      </c>
      <c r="D14" s="66">
        <f>IF(ISBLANK(REVENUS),0,COUT_TOTAL_COT_FISC_SOC_TNS/REVENUS)</f>
        <v>0</v>
      </c>
    </row>
    <row r="15" spans="1:4" ht="24" customHeight="1" x14ac:dyDescent="0.25">
      <c r="A15" s="83"/>
      <c r="B15" s="56" t="s">
        <v>102</v>
      </c>
      <c r="C15" s="67">
        <f>IF(ISBLANK(SAL_BRUT_SAL),0,SAL_NET)</f>
        <v>0</v>
      </c>
      <c r="D15" s="67">
        <f>IF(ISBLANK(REVENUS),0,REVENUS)</f>
        <v>0</v>
      </c>
    </row>
    <row r="16" spans="1:4" ht="24" customHeight="1" thickBot="1" x14ac:dyDescent="0.3">
      <c r="A16" s="84"/>
      <c r="B16" s="58" t="s">
        <v>103</v>
      </c>
      <c r="C16" s="68">
        <f>IF(ISBLANK(SAL_BRUT_SAL),0,TOT_COT_SOC_PAT+TOT_COT_SOC_SAL+SAL_NET)</f>
        <v>0</v>
      </c>
      <c r="D16" s="68">
        <f>IF(ISBLANK(REVENUS),0,COUT_TOTAL_COT_FISC_SOC_TNS+REVENUS)</f>
        <v>0</v>
      </c>
    </row>
    <row r="17" spans="1:4" x14ac:dyDescent="0.25">
      <c r="C17" s="50"/>
      <c r="D17" s="50"/>
    </row>
    <row r="18" spans="1:4" x14ac:dyDescent="0.25">
      <c r="A18" s="81"/>
      <c r="B18" s="81"/>
      <c r="C18" s="81"/>
      <c r="D18" s="81"/>
    </row>
    <row r="19" spans="1:4" x14ac:dyDescent="0.25">
      <c r="A19" s="81"/>
      <c r="B19" s="81"/>
      <c r="C19" s="81"/>
      <c r="D19" s="81"/>
    </row>
  </sheetData>
  <sheetProtection algorithmName="SHA-512" hashValue="OHzxueLfq2PbJKz74dXyXZSCmCpDDo2oVmLqdf2b1UJQo3OTuZQ8KlQAUG3WEvqNky2iBK23oarp20m3GyKK+Q==" saltValue="8b8dC8XPBuqfj1GQVYpgEQ==" spinCount="100000" sheet="1" objects="1" scenarios="1"/>
  <mergeCells count="9">
    <mergeCell ref="A18:D19"/>
    <mergeCell ref="A14:A16"/>
    <mergeCell ref="A12:A13"/>
    <mergeCell ref="C7:D7"/>
    <mergeCell ref="A1:D1"/>
    <mergeCell ref="C4:D4"/>
    <mergeCell ref="C5:D5"/>
    <mergeCell ref="A4:A7"/>
    <mergeCell ref="A8:A11"/>
  </mergeCells>
  <pageMargins left="0.7" right="0.7" top="0.75" bottom="0.75" header="0.3" footer="0.3"/>
  <pageSetup paperSize="9" scale="92"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8A9F-B62E-42A4-B188-E6A44AF26A0B}">
  <dimension ref="B3:L30"/>
  <sheetViews>
    <sheetView workbookViewId="0">
      <selection activeCell="G11" sqref="G11"/>
    </sheetView>
  </sheetViews>
  <sheetFormatPr baseColWidth="10" defaultRowHeight="15" x14ac:dyDescent="0.25"/>
  <cols>
    <col min="2" max="2" width="4" customWidth="1"/>
    <col min="3" max="3" width="16.140625" customWidth="1"/>
    <col min="4" max="4" width="14.42578125" customWidth="1"/>
    <col min="6" max="12" width="15.7109375" customWidth="1"/>
  </cols>
  <sheetData>
    <row r="3" spans="2:12" x14ac:dyDescent="0.25">
      <c r="B3" s="95" t="s">
        <v>65</v>
      </c>
      <c r="C3" s="95"/>
      <c r="D3" s="95"/>
      <c r="E3" s="95"/>
      <c r="F3" s="95" t="s">
        <v>60</v>
      </c>
      <c r="G3" s="95"/>
      <c r="H3" s="95"/>
      <c r="I3" s="95" t="s">
        <v>116</v>
      </c>
      <c r="J3" s="95"/>
      <c r="K3" s="95"/>
    </row>
    <row r="4" spans="2:12" x14ac:dyDescent="0.25">
      <c r="B4" s="95"/>
      <c r="C4" s="95"/>
      <c r="D4" s="95"/>
      <c r="E4" s="95"/>
      <c r="F4" s="40" t="s">
        <v>57</v>
      </c>
      <c r="G4" s="36" t="s">
        <v>14</v>
      </c>
      <c r="H4" s="36" t="s">
        <v>15</v>
      </c>
      <c r="I4" s="36" t="s">
        <v>57</v>
      </c>
      <c r="J4" s="36" t="s">
        <v>14</v>
      </c>
      <c r="K4" s="36" t="s">
        <v>15</v>
      </c>
    </row>
    <row r="5" spans="2:12" x14ac:dyDescent="0.25">
      <c r="B5" t="s">
        <v>56</v>
      </c>
      <c r="F5" s="40">
        <v>0</v>
      </c>
      <c r="G5" s="37">
        <v>0</v>
      </c>
      <c r="H5" s="40">
        <f>ROUND(F5*G5,0)</f>
        <v>0</v>
      </c>
      <c r="I5" s="40">
        <f>SAL_BRUT_SAL</f>
        <v>0</v>
      </c>
      <c r="J5" s="37">
        <v>0.13</v>
      </c>
      <c r="K5" s="40">
        <f t="shared" ref="K5" si="0">ROUND(I5*J5,0)</f>
        <v>0</v>
      </c>
    </row>
    <row r="6" spans="2:12" x14ac:dyDescent="0.25">
      <c r="B6" t="s">
        <v>66</v>
      </c>
      <c r="F6" s="40"/>
      <c r="G6" s="36"/>
      <c r="H6" s="40"/>
      <c r="I6" s="40"/>
      <c r="J6" s="36"/>
      <c r="K6" s="40"/>
    </row>
    <row r="7" spans="2:12" x14ac:dyDescent="0.25">
      <c r="C7" t="s">
        <v>59</v>
      </c>
      <c r="F7" s="40">
        <f>SAL_BRUT_SAL</f>
        <v>0</v>
      </c>
      <c r="G7" s="38">
        <v>4.0000000000000001E-3</v>
      </c>
      <c r="H7" s="40">
        <f>ROUND(F7*G7,0)</f>
        <v>0</v>
      </c>
      <c r="I7" s="40">
        <f>SAL_BRUT_SAL</f>
        <v>0</v>
      </c>
      <c r="J7" s="38">
        <v>1.9E-2</v>
      </c>
      <c r="K7" s="40">
        <f>ROUND(I7*J7,0)</f>
        <v>0</v>
      </c>
    </row>
    <row r="8" spans="2:12" x14ac:dyDescent="0.25">
      <c r="C8" t="s">
        <v>61</v>
      </c>
      <c r="F8" s="40">
        <f>IF(SAL_BRUT_SAL&gt;PASS,PASS,SAL_BRUT_SAL)</f>
        <v>0</v>
      </c>
      <c r="G8" s="38">
        <v>6.9000000000000006E-2</v>
      </c>
      <c r="H8" s="40">
        <f t="shared" ref="H8:H19" si="1">ROUND(F8*G8,0)</f>
        <v>0</v>
      </c>
      <c r="I8" s="40">
        <f>IF(SAL_BRUT_SAL&gt;PASS,PASS,SAL_BRUT_SAL)</f>
        <v>0</v>
      </c>
      <c r="J8" s="38">
        <v>8.5500000000000007E-2</v>
      </c>
      <c r="K8" s="40">
        <f t="shared" ref="K8:K22" si="2">ROUND(I8*J8,0)</f>
        <v>0</v>
      </c>
    </row>
    <row r="9" spans="2:12" x14ac:dyDescent="0.25">
      <c r="B9" t="s">
        <v>67</v>
      </c>
      <c r="F9" s="40"/>
      <c r="G9" s="38"/>
      <c r="H9" s="40"/>
      <c r="I9" s="40"/>
      <c r="J9" s="38"/>
      <c r="K9" s="40"/>
    </row>
    <row r="10" spans="2:12" x14ac:dyDescent="0.25">
      <c r="C10" t="s">
        <v>61</v>
      </c>
      <c r="F10" s="40">
        <f>IF(SAL_BRUT_SAL&gt;PASS,PASS,SAL_BRUT_SAL)</f>
        <v>0</v>
      </c>
      <c r="G10" s="38">
        <f>3.15%</f>
        <v>3.15E-2</v>
      </c>
      <c r="H10" s="40">
        <f t="shared" si="1"/>
        <v>0</v>
      </c>
      <c r="I10" s="40">
        <f>IF(SAL_BRUT_SAL&gt;PASS,PASS,SAL_BRUT_SAL)</f>
        <v>0</v>
      </c>
      <c r="J10" s="38">
        <f>4.72%</f>
        <v>4.7199999999999999E-2</v>
      </c>
      <c r="K10" s="40">
        <f t="shared" si="2"/>
        <v>0</v>
      </c>
    </row>
    <row r="11" spans="2:12" x14ac:dyDescent="0.25">
      <c r="C11" t="s">
        <v>68</v>
      </c>
      <c r="F11" s="40">
        <f>IF(SAL_BRUT_SAL&lt;=PASS,0,SAL_BRUT_SAL-PASS)</f>
        <v>0</v>
      </c>
      <c r="G11" s="38">
        <v>8.6400000000000005E-2</v>
      </c>
      <c r="H11" s="40">
        <f t="shared" si="1"/>
        <v>0</v>
      </c>
      <c r="I11" s="40">
        <f>IF(SAL_BRUT_SAL&lt;=PASS,0,SAL_BRUT_SAL-PASS)</f>
        <v>0</v>
      </c>
      <c r="J11" s="38">
        <v>0.1295</v>
      </c>
      <c r="K11" s="40">
        <f t="shared" si="2"/>
        <v>0</v>
      </c>
    </row>
    <row r="12" spans="2:12" x14ac:dyDescent="0.25">
      <c r="B12" t="s">
        <v>69</v>
      </c>
      <c r="F12" s="40">
        <f>+IF(SAL_BRUT_SAL&gt;PASS,SAL_BRUT_SAL,0)</f>
        <v>0</v>
      </c>
      <c r="G12" s="38">
        <v>1.4E-3</v>
      </c>
      <c r="H12" s="40">
        <f t="shared" si="1"/>
        <v>0</v>
      </c>
      <c r="I12" s="40">
        <f>+IF(SAL_BRUT_SAL&gt;PASS,SAL_BRUT_SAL,0)</f>
        <v>0</v>
      </c>
      <c r="J12" s="38">
        <v>2.0999999999999999E-3</v>
      </c>
      <c r="K12" s="40">
        <f t="shared" si="2"/>
        <v>0</v>
      </c>
    </row>
    <row r="13" spans="2:12" x14ac:dyDescent="0.25">
      <c r="B13" t="s">
        <v>97</v>
      </c>
      <c r="F13" s="40"/>
      <c r="G13" s="38"/>
      <c r="H13" s="40"/>
      <c r="I13" s="40"/>
      <c r="J13" s="38"/>
      <c r="K13" s="40"/>
    </row>
    <row r="14" spans="2:12" x14ac:dyDescent="0.25">
      <c r="C14" t="s">
        <v>61</v>
      </c>
      <c r="F14" s="40">
        <f>IF(SAL_BRUT_SAL&gt;PASS,PASS,SAL_BRUT_SAL)</f>
        <v>0</v>
      </c>
      <c r="G14" s="38">
        <v>8.6E-3</v>
      </c>
      <c r="H14" s="40">
        <f t="shared" ref="H14:H15" si="3">ROUND(F14*G14,0)</f>
        <v>0</v>
      </c>
      <c r="I14" s="40">
        <f>IF(SAL_BRUT_SAL&gt;PASS,PASS,SAL_BRUT_SAL)</f>
        <v>0</v>
      </c>
      <c r="J14" s="38">
        <v>1.29E-2</v>
      </c>
      <c r="K14" s="40">
        <f t="shared" ref="K14:K15" si="4">ROUND(I14*J14,0)</f>
        <v>0</v>
      </c>
      <c r="L14" s="49"/>
    </row>
    <row r="15" spans="2:12" x14ac:dyDescent="0.25">
      <c r="C15" t="s">
        <v>68</v>
      </c>
      <c r="F15" s="40">
        <f>IF(SAL_BRUT_SAL&lt;=PASS,0,SAL_BRUT_SAL-PASS)</f>
        <v>0</v>
      </c>
      <c r="G15" s="38">
        <v>1.0800000000000001E-2</v>
      </c>
      <c r="H15" s="40">
        <f t="shared" si="3"/>
        <v>0</v>
      </c>
      <c r="I15" s="40">
        <f>IF(SAL_BRUT_SAL&lt;=PASS,0,SAL_BRUT_SAL-PASS)</f>
        <v>0</v>
      </c>
      <c r="J15" s="38">
        <v>1.6199999999999999E-2</v>
      </c>
      <c r="K15" s="40">
        <f t="shared" si="4"/>
        <v>0</v>
      </c>
      <c r="L15" s="48"/>
    </row>
    <row r="16" spans="2:12" x14ac:dyDescent="0.25">
      <c r="B16" t="s">
        <v>70</v>
      </c>
      <c r="F16" s="40">
        <f>IF(SAL_BRUT_SAL&lt;=(4*PASS),SAL_BRUT_SAL,4*PASS)</f>
        <v>0</v>
      </c>
      <c r="G16" s="39">
        <v>2.4000000000000001E-4</v>
      </c>
      <c r="H16" s="40">
        <f t="shared" si="1"/>
        <v>0</v>
      </c>
      <c r="I16" s="40">
        <f>IF(SAL_BRUT_SAL&lt;=(4*PASS),SAL_BRUT_SAL,4*PASS)</f>
        <v>0</v>
      </c>
      <c r="J16" s="39">
        <v>3.6000000000000002E-4</v>
      </c>
      <c r="K16" s="40">
        <f t="shared" si="2"/>
        <v>0</v>
      </c>
    </row>
    <row r="17" spans="2:11" x14ac:dyDescent="0.25">
      <c r="B17" t="s">
        <v>5</v>
      </c>
      <c r="F17" s="40">
        <v>0</v>
      </c>
      <c r="G17" s="37">
        <v>0</v>
      </c>
      <c r="H17" s="40">
        <f t="shared" si="1"/>
        <v>0</v>
      </c>
      <c r="I17" s="40">
        <f>+SAL_BRUT_SAL</f>
        <v>0</v>
      </c>
      <c r="J17" s="38">
        <v>5.2499999999999998E-2</v>
      </c>
      <c r="K17" s="40">
        <f t="shared" si="2"/>
        <v>0</v>
      </c>
    </row>
    <row r="18" spans="2:11" x14ac:dyDescent="0.25">
      <c r="B18" t="s">
        <v>62</v>
      </c>
      <c r="F18" s="40">
        <v>0</v>
      </c>
      <c r="G18" s="37">
        <v>0</v>
      </c>
      <c r="H18" s="40">
        <f t="shared" si="1"/>
        <v>0</v>
      </c>
      <c r="I18" s="40">
        <f>+SAL_BRUT_SAL</f>
        <v>0</v>
      </c>
      <c r="J18" s="39">
        <v>1.6000000000000001E-4</v>
      </c>
      <c r="K18" s="40">
        <f>ROUND(I18*J18,0)</f>
        <v>0</v>
      </c>
    </row>
    <row r="19" spans="2:11" x14ac:dyDescent="0.25">
      <c r="B19" t="s">
        <v>63</v>
      </c>
      <c r="F19" s="40">
        <v>0</v>
      </c>
      <c r="G19" s="37">
        <v>0</v>
      </c>
      <c r="H19" s="40">
        <f t="shared" si="1"/>
        <v>0</v>
      </c>
      <c r="I19" s="40">
        <f>IF(SAL_BRUT_SAL&gt;PASS,PASS,SAL_BRUT_SAL)</f>
        <v>0</v>
      </c>
      <c r="J19" s="38">
        <v>1E-3</v>
      </c>
      <c r="K19" s="40">
        <f>ROUND(I19*J19,0)</f>
        <v>0</v>
      </c>
    </row>
    <row r="20" spans="2:11" x14ac:dyDescent="0.25">
      <c r="B20" t="s">
        <v>29</v>
      </c>
      <c r="F20" s="40">
        <f>SAL_BRUT_SAL*98.25%</f>
        <v>0</v>
      </c>
      <c r="G20" s="38">
        <v>9.1999999999999998E-2</v>
      </c>
      <c r="H20" s="40">
        <f>ROUND(F20*G20,0)</f>
        <v>0</v>
      </c>
      <c r="I20" s="40">
        <v>0</v>
      </c>
      <c r="J20" s="38">
        <v>0</v>
      </c>
      <c r="K20" s="40">
        <f>ROUND(I20*J20,0)</f>
        <v>0</v>
      </c>
    </row>
    <row r="21" spans="2:11" x14ac:dyDescent="0.25">
      <c r="B21" t="s">
        <v>30</v>
      </c>
      <c r="F21" s="40">
        <f>SAL_BRUT_SAL*98.25%</f>
        <v>0</v>
      </c>
      <c r="G21" s="38">
        <v>5.0000000000000001E-3</v>
      </c>
      <c r="H21" s="40">
        <f>ROUND(F21*G21,0)</f>
        <v>0</v>
      </c>
      <c r="I21" s="40">
        <v>0</v>
      </c>
      <c r="J21" s="38">
        <v>0</v>
      </c>
      <c r="K21" s="40">
        <f>ROUND(I21*J21,0)</f>
        <v>0</v>
      </c>
    </row>
    <row r="22" spans="2:11" x14ac:dyDescent="0.25">
      <c r="B22" t="s">
        <v>64</v>
      </c>
      <c r="F22" s="40">
        <v>0</v>
      </c>
      <c r="G22" s="38">
        <v>0</v>
      </c>
      <c r="H22" s="40">
        <f>ROUND(F22*G22,0)</f>
        <v>0</v>
      </c>
      <c r="I22" s="40">
        <f>SAL_BRUT_SAL</f>
        <v>0</v>
      </c>
      <c r="J22" s="46">
        <f>IF(ISBLANK(COT_TAUX_AT),0,COT_TAUX_AT)</f>
        <v>0</v>
      </c>
      <c r="K22" s="40">
        <f t="shared" si="2"/>
        <v>0</v>
      </c>
    </row>
    <row r="23" spans="2:11" x14ac:dyDescent="0.25">
      <c r="F23" s="40"/>
      <c r="G23" s="36"/>
      <c r="H23" s="40"/>
      <c r="I23" s="40"/>
      <c r="J23" s="36"/>
      <c r="K23" s="40"/>
    </row>
    <row r="24" spans="2:11" x14ac:dyDescent="0.25">
      <c r="B24" t="s">
        <v>72</v>
      </c>
      <c r="F24" s="40"/>
      <c r="G24" s="40"/>
      <c r="H24" s="40">
        <f>SUM(H5:H23)</f>
        <v>0</v>
      </c>
      <c r="I24" s="40"/>
      <c r="J24" s="36"/>
      <c r="K24" s="40">
        <f>SUM(K5:K23)</f>
        <v>0</v>
      </c>
    </row>
    <row r="25" spans="2:11" x14ac:dyDescent="0.25">
      <c r="F25" s="40"/>
      <c r="G25" s="36"/>
      <c r="H25" s="40"/>
      <c r="I25" s="40"/>
      <c r="J25" s="36"/>
      <c r="K25" s="36"/>
    </row>
    <row r="26" spans="2:11" x14ac:dyDescent="0.25">
      <c r="B26" t="s">
        <v>73</v>
      </c>
      <c r="F26" s="40"/>
      <c r="G26" s="36"/>
      <c r="H26" s="40">
        <f>+SAL_BRUT_SAL-TOT_COT_SOC_SAL</f>
        <v>0</v>
      </c>
      <c r="I26" s="36"/>
      <c r="J26" s="36"/>
      <c r="K26" s="36"/>
    </row>
    <row r="27" spans="2:11" x14ac:dyDescent="0.25">
      <c r="F27" s="40"/>
      <c r="G27" s="36"/>
      <c r="H27" s="40"/>
      <c r="I27" s="36"/>
      <c r="J27" s="36"/>
      <c r="K27" s="36"/>
    </row>
    <row r="28" spans="2:11" x14ac:dyDescent="0.25">
      <c r="F28" s="8"/>
      <c r="H28" s="8"/>
    </row>
    <row r="29" spans="2:11" x14ac:dyDescent="0.25">
      <c r="F29" s="8"/>
      <c r="H29" s="8"/>
    </row>
    <row r="30" spans="2:11" x14ac:dyDescent="0.25">
      <c r="F30" s="8"/>
    </row>
  </sheetData>
  <sheetProtection algorithmName="SHA-512" hashValue="gDGSxK/HZl0UjOrA6Rix9JJLiDXy69UV3D6ln3xLwvBQP1YrzEqQVCq+O3pPBJjtRJZUmqI1XoA/pC4Oay7ObA==" saltValue="pQf+fwTpfiuCjcL+z7Ug/Q==" spinCount="100000" sheet="1" objects="1" scenarios="1"/>
  <mergeCells count="3">
    <mergeCell ref="F3:H3"/>
    <mergeCell ref="I3:K3"/>
    <mergeCell ref="B3:E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629D-C355-42AC-BB8A-6B0263AC05EB}">
  <dimension ref="B6:F33"/>
  <sheetViews>
    <sheetView topLeftCell="A7" workbookViewId="0">
      <selection activeCell="D21" sqref="D21"/>
    </sheetView>
  </sheetViews>
  <sheetFormatPr baseColWidth="10" defaultRowHeight="15" x14ac:dyDescent="0.25"/>
  <cols>
    <col min="2" max="2" width="3.28515625" customWidth="1"/>
    <col min="3" max="3" width="23.5703125" customWidth="1"/>
    <col min="4" max="4" width="15.7109375" style="8" customWidth="1"/>
    <col min="5" max="5" width="15.7109375" customWidth="1"/>
    <col min="6" max="6" width="15.7109375" style="8" customWidth="1"/>
  </cols>
  <sheetData>
    <row r="6" spans="2:6" x14ac:dyDescent="0.25">
      <c r="D6" s="8" t="s">
        <v>13</v>
      </c>
      <c r="E6" t="s">
        <v>14</v>
      </c>
      <c r="F6" s="8" t="s">
        <v>15</v>
      </c>
    </row>
    <row r="8" spans="2:6" x14ac:dyDescent="0.25">
      <c r="B8" t="s">
        <v>12</v>
      </c>
    </row>
    <row r="9" spans="2:6" x14ac:dyDescent="0.25">
      <c r="C9" t="s">
        <v>25</v>
      </c>
      <c r="D9" s="8">
        <f>ROUND(IF(REVENUS&lt;(PASS*40%),PASS*40%,IF(REVENUS&gt;(5*PASS),5*PASS,REVENUS)),0)</f>
        <v>16454</v>
      </c>
      <c r="E9" s="7">
        <f>(IF(REVENUS&lt;(PASS*40%),(((TX_MAL_COM_T1-TX_MAL_COM_T2)/(1.1*PASS))*REVENUS)+(TX_MAL_COM_T2/(PASS*40%))*REVENUS,IF(REVENUS&gt;=(PASS*110%),TX_MAL_COM_T1,((TX_MAL_COM_T1-TX_MAL_COM_T2)/(1.1*PASS))*REVENUS+TX_MAL_COM_T2)))</f>
        <v>0</v>
      </c>
      <c r="F9" s="8">
        <f>ROUND(D9*E9,0)</f>
        <v>0</v>
      </c>
    </row>
    <row r="10" spans="2:6" x14ac:dyDescent="0.25">
      <c r="C10" t="s">
        <v>26</v>
      </c>
      <c r="D10" s="8">
        <f>ROUND(IF(REVENUS&gt;(5*PASS),REVENUS-(5*PASS),0),0)</f>
        <v>0</v>
      </c>
      <c r="E10" s="7">
        <v>6.5000000000000002E-2</v>
      </c>
      <c r="F10" s="8">
        <f>ROUND(D10*E10,0)</f>
        <v>0</v>
      </c>
    </row>
    <row r="11" spans="2:6" x14ac:dyDescent="0.25">
      <c r="E11" s="7"/>
    </row>
    <row r="12" spans="2:6" x14ac:dyDescent="0.25">
      <c r="B12" t="s">
        <v>6</v>
      </c>
      <c r="D12" s="8">
        <f>ROUND(IF(REVENUS&lt;(40%*PASS),40%*PASS,IF(REVENUS&gt;(5*PASS),5*PASS,REVENUS)),0)</f>
        <v>16454</v>
      </c>
      <c r="E12" s="6">
        <v>8.5000000000000006E-3</v>
      </c>
      <c r="F12" s="8">
        <f>ROUND(D12*E12,0)</f>
        <v>140</v>
      </c>
    </row>
    <row r="14" spans="2:6" x14ac:dyDescent="0.25">
      <c r="B14" t="s">
        <v>5</v>
      </c>
      <c r="D14" s="8">
        <f>REVENUS</f>
        <v>0</v>
      </c>
      <c r="E14" s="7">
        <f>IF(REVENUS&lt;(PASS*110%),0,IF(REVENUS&gt;(PASS*140%),3.1%,((3.1%/(PASS*30%))*(REVENUS-(1.1*PASS)))))</f>
        <v>0</v>
      </c>
      <c r="F14" s="8">
        <f t="shared" ref="F14" si="0">ROUND(D14*E14,0)</f>
        <v>0</v>
      </c>
    </row>
    <row r="16" spans="2:6" x14ac:dyDescent="0.25">
      <c r="B16" t="s">
        <v>16</v>
      </c>
    </row>
    <row r="17" spans="2:6" x14ac:dyDescent="0.25">
      <c r="C17" s="96" t="s">
        <v>17</v>
      </c>
      <c r="D17" s="8">
        <f>ROUND(IF(REVENUS&lt;(PASS*11.5%),PASS*11.5%,IF(REVENUS&lt;PASS,REVENUS,PASS)),0)</f>
        <v>4731</v>
      </c>
      <c r="E17" s="6">
        <v>0.17749999999999999</v>
      </c>
      <c r="F17" s="8">
        <f>ROUND(D17*E17,0)</f>
        <v>840</v>
      </c>
    </row>
    <row r="18" spans="2:6" x14ac:dyDescent="0.25">
      <c r="C18" s="96"/>
      <c r="D18" s="8">
        <f>ROUND(IF(REVENUS&gt;PASS,(REVENUS-PASS),0),0)</f>
        <v>0</v>
      </c>
      <c r="E18" s="6">
        <v>6.0000000000000001E-3</v>
      </c>
      <c r="F18" s="8">
        <f>ROUND(D18*E18,0)</f>
        <v>0</v>
      </c>
    </row>
    <row r="19" spans="2:6" x14ac:dyDescent="0.25">
      <c r="C19" s="96" t="s">
        <v>18</v>
      </c>
      <c r="D19" s="8">
        <f>ROUND(IF(REVENUS&lt;PARC,REVENUS,PARC),0)</f>
        <v>0</v>
      </c>
      <c r="E19" s="6">
        <v>7.0000000000000007E-2</v>
      </c>
      <c r="F19" s="8">
        <f t="shared" ref="F19:F22" si="1">ROUND(D19*E19,0)</f>
        <v>0</v>
      </c>
    </row>
    <row r="20" spans="2:6" x14ac:dyDescent="0.25">
      <c r="C20" s="96"/>
      <c r="D20" s="8">
        <f>ROUND(IF(REVENUS&lt;PARC,0,IF(REVENUS&gt;(4*PASS),((4*PASS)-PARC),(REVENUS-PARC))),0)</f>
        <v>0</v>
      </c>
      <c r="E20" s="6">
        <v>0.08</v>
      </c>
      <c r="F20" s="8">
        <f>ROUND(D20*E20,0)</f>
        <v>0</v>
      </c>
    </row>
    <row r="22" spans="2:6" x14ac:dyDescent="0.25">
      <c r="B22" t="s">
        <v>9</v>
      </c>
      <c r="D22" s="8">
        <f>ROUND(IF(REVENUS&lt;(11.5%*PASS),11.5%*PASS,IF(REVENUS&gt;PASS,PASS,REVENUS)),0)</f>
        <v>4731</v>
      </c>
      <c r="E22" s="6">
        <v>1.2999999999999999E-2</v>
      </c>
      <c r="F22" s="8">
        <f t="shared" si="1"/>
        <v>62</v>
      </c>
    </row>
    <row r="24" spans="2:6" x14ac:dyDescent="0.25">
      <c r="B24" t="s">
        <v>32</v>
      </c>
      <c r="F24" s="8">
        <f>SUM(F7:F23)</f>
        <v>1042</v>
      </c>
    </row>
    <row r="26" spans="2:6" x14ac:dyDescent="0.25">
      <c r="B26" t="s">
        <v>10</v>
      </c>
      <c r="D26" s="8">
        <f>PASS</f>
        <v>41136</v>
      </c>
      <c r="E26" s="7">
        <f>IF(NATURE_ACTIVITE="Artisanale",0.29%,IF(OR(NATURE_ACTIVITE="Commerciale",NATURE_ACTIVITE="Libérale non réglementée"),0.25%,0%))</f>
        <v>0</v>
      </c>
      <c r="F26" s="8">
        <f t="shared" ref="F26" si="2">ROUND(D26*E26,0)</f>
        <v>0</v>
      </c>
    </row>
    <row r="28" spans="2:6" x14ac:dyDescent="0.25">
      <c r="B28" t="s">
        <v>29</v>
      </c>
      <c r="D28" s="8">
        <f>REVENUS+TOT_COT_SOC_TNS</f>
        <v>1042</v>
      </c>
      <c r="E28" s="6">
        <v>9.1999999999999998E-2</v>
      </c>
      <c r="F28" s="8">
        <f>+ROUND(D28*E28,0)</f>
        <v>96</v>
      </c>
    </row>
    <row r="29" spans="2:6" x14ac:dyDescent="0.25">
      <c r="B29" t="s">
        <v>30</v>
      </c>
      <c r="D29" s="8">
        <f>REVENUS+TOT_COT_SOC_TNS</f>
        <v>1042</v>
      </c>
      <c r="E29" s="6">
        <v>5.0000000000000001E-3</v>
      </c>
      <c r="F29" s="8">
        <f>+ROUND(D29*E29,0)</f>
        <v>5</v>
      </c>
    </row>
    <row r="30" spans="2:6" x14ac:dyDescent="0.25">
      <c r="E30" s="6"/>
    </row>
    <row r="31" spans="2:6" x14ac:dyDescent="0.25">
      <c r="B31" t="s">
        <v>31</v>
      </c>
      <c r="E31" s="6"/>
      <c r="F31" s="8">
        <f>+SUM(F27:F30)</f>
        <v>101</v>
      </c>
    </row>
    <row r="33" spans="2:6" x14ac:dyDescent="0.25">
      <c r="B33" t="s">
        <v>27</v>
      </c>
      <c r="F33" s="8">
        <f>TOT_COT_FISC_TNS+TOT_COT_SOC_TNS+FORM_PROF_TNS</f>
        <v>1143</v>
      </c>
    </row>
  </sheetData>
  <sheetProtection algorithmName="SHA-512" hashValue="Qnqlym4O86xNpqsb3nmBloFsgTATUhaGUdRFVtLn779wG0lh31Iucy0eXKtSesbwP6d+1uqQSeZS2ThoIq7nGA==" saltValue="W87aKNdp3WsJhpl+HrNpdg==" spinCount="100000" sheet="1" objects="1" scenarios="1"/>
  <mergeCells count="2">
    <mergeCell ref="C17:C18"/>
    <mergeCell ref="C19: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47D9-86A0-4CE6-8B27-BE7854E2DBA7}">
  <dimension ref="B1:F12"/>
  <sheetViews>
    <sheetView workbookViewId="0">
      <selection activeCell="C26" sqref="C26"/>
    </sheetView>
  </sheetViews>
  <sheetFormatPr baseColWidth="10" defaultRowHeight="15" x14ac:dyDescent="0.25"/>
  <cols>
    <col min="2" max="2" width="42.7109375" customWidth="1"/>
    <col min="3" max="3" width="13.7109375" customWidth="1"/>
    <col min="4" max="4" width="13.7109375" style="5" customWidth="1"/>
    <col min="5" max="5" width="18.7109375" customWidth="1"/>
  </cols>
  <sheetData>
    <row r="1" spans="2:6" x14ac:dyDescent="0.25">
      <c r="B1" s="9"/>
      <c r="C1" s="11"/>
      <c r="D1" s="12"/>
    </row>
    <row r="2" spans="2:6" x14ac:dyDescent="0.25">
      <c r="B2" s="21" t="s">
        <v>38</v>
      </c>
      <c r="C2" s="22" t="s">
        <v>39</v>
      </c>
      <c r="D2" s="23" t="s">
        <v>15</v>
      </c>
      <c r="E2" s="24" t="s">
        <v>40</v>
      </c>
      <c r="F2" s="20"/>
    </row>
    <row r="3" spans="2:6" x14ac:dyDescent="0.25">
      <c r="B3" s="15"/>
      <c r="C3" s="16"/>
      <c r="D3" s="17"/>
      <c r="E3" s="19"/>
      <c r="F3" s="20"/>
    </row>
    <row r="4" spans="2:6" x14ac:dyDescent="0.25">
      <c r="B4" s="9"/>
      <c r="C4" s="11"/>
      <c r="D4" s="12"/>
      <c r="E4" s="18"/>
      <c r="F4" s="20"/>
    </row>
    <row r="5" spans="2:6" x14ac:dyDescent="0.25">
      <c r="B5" s="9" t="s">
        <v>126</v>
      </c>
      <c r="C5" s="11" t="s">
        <v>36</v>
      </c>
      <c r="D5" s="13">
        <v>41136</v>
      </c>
      <c r="E5" s="18" t="s">
        <v>19</v>
      </c>
      <c r="F5" s="20"/>
    </row>
    <row r="6" spans="2:6" x14ac:dyDescent="0.25">
      <c r="B6" s="9"/>
      <c r="C6" s="11" t="s">
        <v>37</v>
      </c>
      <c r="D6" s="13">
        <v>3428</v>
      </c>
      <c r="E6" s="18" t="s">
        <v>20</v>
      </c>
      <c r="F6" s="20"/>
    </row>
    <row r="7" spans="2:6" x14ac:dyDescent="0.25">
      <c r="B7" s="9"/>
      <c r="C7" s="11"/>
      <c r="D7" s="13"/>
      <c r="E7" s="18"/>
      <c r="F7" s="20"/>
    </row>
    <row r="8" spans="2:6" x14ac:dyDescent="0.25">
      <c r="B8" s="9" t="s">
        <v>21</v>
      </c>
      <c r="C8" s="11" t="s">
        <v>36</v>
      </c>
      <c r="D8" s="13">
        <v>38493</v>
      </c>
      <c r="E8" s="18" t="s">
        <v>22</v>
      </c>
      <c r="F8" s="20"/>
    </row>
    <row r="9" spans="2:6" x14ac:dyDescent="0.25">
      <c r="B9" s="9"/>
      <c r="C9" s="11"/>
      <c r="D9" s="12"/>
      <c r="E9" s="18"/>
      <c r="F9" s="20"/>
    </row>
    <row r="10" spans="2:6" x14ac:dyDescent="0.25">
      <c r="B10" s="9" t="s">
        <v>28</v>
      </c>
      <c r="C10" s="11" t="s">
        <v>23</v>
      </c>
      <c r="D10" s="14">
        <v>6.3500000000000001E-2</v>
      </c>
      <c r="E10" s="18" t="s">
        <v>34</v>
      </c>
      <c r="F10" s="20"/>
    </row>
    <row r="11" spans="2:6" x14ac:dyDescent="0.25">
      <c r="B11" s="10" t="s">
        <v>33</v>
      </c>
      <c r="C11" s="11" t="s">
        <v>24</v>
      </c>
      <c r="D11" s="14">
        <v>1.35E-2</v>
      </c>
      <c r="E11" s="18" t="s">
        <v>35</v>
      </c>
      <c r="F11" s="20"/>
    </row>
    <row r="12" spans="2:6" x14ac:dyDescent="0.25">
      <c r="B12" s="10"/>
      <c r="C12" s="11"/>
      <c r="D12" s="14"/>
      <c r="E12" s="18"/>
      <c r="F12" s="20"/>
    </row>
  </sheetData>
  <sheetProtection algorithmName="SHA-512" hashValue="amfVInLhxsHjPJ8eKw5VnVmnV8vK6Ztc6HPThK42MsZPFc/PONmcfROjqkGIms6WqerR9tkgbnC840CjI1fF8w==" saltValue="R4lh3cqeb7TcqgwMHaEXn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19</vt:i4>
      </vt:variant>
    </vt:vector>
  </HeadingPairs>
  <TitlesOfParts>
    <vt:vector size="25" baseType="lpstr">
      <vt:lpstr>Simulateur TNS</vt:lpstr>
      <vt:lpstr>Simulateur Salarié</vt:lpstr>
      <vt:lpstr>Récapitulatif et comparaison</vt:lpstr>
      <vt:lpstr>Calcul salarié</vt:lpstr>
      <vt:lpstr>Calcul TNS</vt:lpstr>
      <vt:lpstr>Données communes</vt:lpstr>
      <vt:lpstr>COT_TAUX_AT</vt:lpstr>
      <vt:lpstr>COUT_TOTAL_COT_FISC_SOC_TNS</vt:lpstr>
      <vt:lpstr>FORM_PROF_TNS</vt:lpstr>
      <vt:lpstr>NATURE_ACTIVITE</vt:lpstr>
      <vt:lpstr>PARC</vt:lpstr>
      <vt:lpstr>PASS</vt:lpstr>
      <vt:lpstr>PMSS</vt:lpstr>
      <vt:lpstr>REVENUS</vt:lpstr>
      <vt:lpstr>SAL_BRUT_SAL</vt:lpstr>
      <vt:lpstr>SAL_NET</vt:lpstr>
      <vt:lpstr>TOT_COT_FISC_TNS</vt:lpstr>
      <vt:lpstr>TOT_COT_SOC_PAT</vt:lpstr>
      <vt:lpstr>TOT_COT_SOC_SAL</vt:lpstr>
      <vt:lpstr>TOT_COT_SOC_TNS</vt:lpstr>
      <vt:lpstr>TX_MAL_COM_T1</vt:lpstr>
      <vt:lpstr>TX_MAL_COM_T2</vt:lpstr>
      <vt:lpstr>'Récapitulatif et comparaison'!Zone_d_impression</vt:lpstr>
      <vt:lpstr>'Simulateur Salarié'!Zone_d_impression</vt:lpstr>
      <vt:lpstr>'Simulateur TNS'!Zone_d_impression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Thibaut Clermont</dc:creator>
  <cp:lastModifiedBy>Thibaut Clermont</cp:lastModifiedBy>
  <cp:lastPrinted>2020-04-10T10:14:59Z</cp:lastPrinted>
  <dcterms:created xsi:type="dcterms:W3CDTF">2020-04-07T07:50:02Z</dcterms:created>
  <dcterms:modified xsi:type="dcterms:W3CDTF">2021-12-07T10:56:18Z</dcterms:modified>
</cp:coreProperties>
</file>