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ERRE\Google Drive\FCIC Services professionnels\11. Projet FCIC\Application\Outils Excel\Prévisionnel\Version travail\"/>
    </mc:Choice>
  </mc:AlternateContent>
  <bookViews>
    <workbookView xWindow="-120" yWindow="-120" windowWidth="29040" windowHeight="15840" tabRatio="845" firstSheet="1" activeTab="1"/>
  </bookViews>
  <sheets>
    <sheet name="Guide utilisation" sheetId="35" r:id="rId1"/>
    <sheet name="Caractéristiques" sheetId="4" r:id="rId2"/>
    <sheet name="Investissements" sheetId="3" r:id="rId3"/>
    <sheet name="Financements" sheetId="34" r:id="rId4"/>
    <sheet name="Activité" sheetId="1" r:id="rId5"/>
    <sheet name="Frais généraux" sheetId="2" r:id="rId6"/>
    <sheet name="Salaires" sheetId="32" r:id="rId7"/>
    <sheet name="Autres" sheetId="36" r:id="rId8"/>
    <sheet name="Calcul prévi" sheetId="33" r:id="rId9"/>
    <sheet name="Page de garde" sheetId="11" r:id="rId10"/>
    <sheet name="Synthèse" sheetId="37" r:id="rId11"/>
    <sheet name="Graphiques" sheetId="38" r:id="rId12"/>
    <sheet name="Compte de résultat" sheetId="13" r:id="rId13"/>
    <sheet name="Bilan" sheetId="25" r:id="rId14"/>
    <sheet name="Plan de financement" sheetId="39" r:id="rId15"/>
    <sheet name="Trésorerie " sheetId="7" r:id="rId16"/>
  </sheets>
  <definedNames>
    <definedName name="_xlnm._FilterDatabase" localSheetId="1" hidden="1">Caractéristiques!$C$22:$C$35</definedName>
    <definedName name="_xlnm._FilterDatabase" localSheetId="0" hidden="1">'Guide utilisation'!#REF!</definedName>
    <definedName name="Autres" localSheetId="7">Caractéristiques!#REF!</definedName>
    <definedName name="Autres" localSheetId="11">Caractéristiques!#REF!</definedName>
    <definedName name="Autres" localSheetId="0">'Guide utilisation'!#REF!</definedName>
    <definedName name="Autres" localSheetId="14">Caractéristiques!#REF!</definedName>
    <definedName name="Autres" localSheetId="10">Caractéristiques!#REF!</definedName>
    <definedName name="Autres">Caractéristiques!#REF!</definedName>
    <definedName name="_xlnm.Criteria" localSheetId="1">Caractéristiques!#REF!</definedName>
    <definedName name="_xlnm.Criteria" localSheetId="0">'Guide utilisation'!#REF!</definedName>
    <definedName name="IS" localSheetId="7">Caractéristiques!#REF!</definedName>
    <definedName name="IS" localSheetId="13">Caractéristiques!#REF!</definedName>
    <definedName name="IS" localSheetId="8">Caractéristiques!#REF!</definedName>
    <definedName name="IS" localSheetId="3">Caractéristiques!#REF!</definedName>
    <definedName name="IS" localSheetId="11">Caractéristiques!#REF!</definedName>
    <definedName name="IS" localSheetId="0">'Guide utilisation'!#REF!</definedName>
    <definedName name="IS" localSheetId="14">Caractéristiques!#REF!</definedName>
    <definedName name="IS" localSheetId="6">Caractéristiques!#REF!</definedName>
    <definedName name="IS" localSheetId="10">Caractéristiques!#REF!</definedName>
    <definedName name="IS">Caractéristiques!#REF!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2" l="1"/>
  <c r="N400" i="33" l="1"/>
  <c r="M400" i="33"/>
  <c r="L400" i="33"/>
  <c r="K400" i="33"/>
  <c r="J400" i="33"/>
  <c r="I400" i="33"/>
  <c r="H400" i="33"/>
  <c r="G400" i="33"/>
  <c r="F400" i="33"/>
  <c r="E400" i="33"/>
  <c r="D400" i="33"/>
  <c r="C400" i="33"/>
  <c r="D378" i="33"/>
  <c r="E378" i="33"/>
  <c r="F378" i="33"/>
  <c r="G378" i="33"/>
  <c r="H378" i="33"/>
  <c r="I378" i="33"/>
  <c r="J378" i="33"/>
  <c r="K378" i="33"/>
  <c r="L378" i="33"/>
  <c r="M378" i="33"/>
  <c r="N378" i="33"/>
  <c r="C378" i="33"/>
  <c r="C357" i="33"/>
  <c r="M316" i="33"/>
  <c r="M277" i="33"/>
  <c r="M238" i="33"/>
  <c r="M249" i="33"/>
  <c r="M248" i="33"/>
  <c r="M247" i="33"/>
  <c r="M288" i="33"/>
  <c r="M287" i="33"/>
  <c r="M286" i="33"/>
  <c r="M325" i="33"/>
  <c r="M327" i="33"/>
  <c r="M326" i="33"/>
  <c r="C12" i="13"/>
  <c r="F12" i="13"/>
  <c r="D12" i="13"/>
  <c r="D490" i="33" l="1"/>
  <c r="D491" i="33"/>
  <c r="C492" i="33"/>
  <c r="C493" i="33"/>
  <c r="C494" i="33"/>
  <c r="C74" i="7" l="1"/>
  <c r="D74" i="7"/>
  <c r="E74" i="7"/>
  <c r="F74" i="7"/>
  <c r="G74" i="7"/>
  <c r="H74" i="7"/>
  <c r="I74" i="7"/>
  <c r="J74" i="7"/>
  <c r="K74" i="7"/>
  <c r="L74" i="7"/>
  <c r="M74" i="7"/>
  <c r="C45" i="7"/>
  <c r="D45" i="7"/>
  <c r="E45" i="7"/>
  <c r="F45" i="7"/>
  <c r="G45" i="7"/>
  <c r="H45" i="7"/>
  <c r="I45" i="7"/>
  <c r="J45" i="7"/>
  <c r="K45" i="7"/>
  <c r="L45" i="7"/>
  <c r="M45" i="7"/>
  <c r="C17" i="7"/>
  <c r="D17" i="7"/>
  <c r="E17" i="7"/>
  <c r="F17" i="7"/>
  <c r="G17" i="7"/>
  <c r="H17" i="7"/>
  <c r="I17" i="7"/>
  <c r="J17" i="7"/>
  <c r="K17" i="7"/>
  <c r="L17" i="7"/>
  <c r="M17" i="7"/>
  <c r="G60" i="4"/>
  <c r="D357" i="33"/>
  <c r="E357" i="33"/>
  <c r="F357" i="33"/>
  <c r="G357" i="33"/>
  <c r="H357" i="33"/>
  <c r="I357" i="33"/>
  <c r="J357" i="33"/>
  <c r="K357" i="33"/>
  <c r="L357" i="33"/>
  <c r="M357" i="33"/>
  <c r="N357" i="33"/>
  <c r="C22" i="32"/>
  <c r="E22" i="32"/>
  <c r="F22" i="32"/>
  <c r="G22" i="32"/>
  <c r="H22" i="32"/>
  <c r="I22" i="32"/>
  <c r="J22" i="32"/>
  <c r="K22" i="32"/>
  <c r="L22" i="32"/>
  <c r="M22" i="32"/>
  <c r="N22" i="32"/>
  <c r="D22" i="32"/>
  <c r="E11" i="39" l="1"/>
  <c r="E8" i="39"/>
  <c r="E7" i="39"/>
  <c r="B7" i="33"/>
  <c r="E14" i="39" l="1"/>
  <c r="E27" i="37"/>
  <c r="F17" i="25" l="1"/>
  <c r="G20" i="13"/>
  <c r="E20" i="13"/>
  <c r="B35" i="32"/>
  <c r="B36" i="32"/>
  <c r="B37" i="32"/>
  <c r="B38" i="32"/>
  <c r="B34" i="32"/>
  <c r="B25" i="32"/>
  <c r="B26" i="32"/>
  <c r="B27" i="32"/>
  <c r="B28" i="32"/>
  <c r="B29" i="32"/>
  <c r="B16" i="32"/>
  <c r="B17" i="32"/>
  <c r="B18" i="32"/>
  <c r="B19" i="32"/>
  <c r="B20" i="32"/>
  <c r="H44" i="34"/>
  <c r="H43" i="34"/>
  <c r="H42" i="34"/>
  <c r="D625" i="33" l="1"/>
  <c r="D627" i="33" s="1"/>
  <c r="D70" i="33" s="1"/>
  <c r="E625" i="33"/>
  <c r="E627" i="33" s="1"/>
  <c r="F625" i="33"/>
  <c r="F627" i="33" s="1"/>
  <c r="G625" i="33"/>
  <c r="G627" i="33" s="1"/>
  <c r="H625" i="33"/>
  <c r="H627" i="33" s="1"/>
  <c r="H70" i="33" s="1"/>
  <c r="I625" i="33"/>
  <c r="I627" i="33" s="1"/>
  <c r="I70" i="33" s="1"/>
  <c r="J625" i="33"/>
  <c r="J627" i="33" s="1"/>
  <c r="J70" i="33" s="1"/>
  <c r="K625" i="33"/>
  <c r="K627" i="33" s="1"/>
  <c r="L625" i="33"/>
  <c r="L627" i="33" s="1"/>
  <c r="L70" i="33" s="1"/>
  <c r="M625" i="33"/>
  <c r="M627" i="33" s="1"/>
  <c r="M70" i="33" s="1"/>
  <c r="N625" i="33"/>
  <c r="N627" i="33" s="1"/>
  <c r="N70" i="33" s="1"/>
  <c r="D626" i="33"/>
  <c r="E626" i="33"/>
  <c r="F626" i="33"/>
  <c r="G626" i="33"/>
  <c r="H626" i="33"/>
  <c r="I626" i="33"/>
  <c r="J626" i="33"/>
  <c r="K626" i="33"/>
  <c r="L626" i="33"/>
  <c r="M626" i="33"/>
  <c r="N626" i="33"/>
  <c r="C626" i="33"/>
  <c r="C625" i="33"/>
  <c r="D617" i="33"/>
  <c r="E617" i="33"/>
  <c r="E619" i="33" s="1"/>
  <c r="F617" i="33"/>
  <c r="F619" i="33" s="1"/>
  <c r="F51" i="33" s="1"/>
  <c r="G617" i="33"/>
  <c r="G619" i="33" s="1"/>
  <c r="H617" i="33"/>
  <c r="H619" i="33" s="1"/>
  <c r="I617" i="33"/>
  <c r="I619" i="33" s="1"/>
  <c r="J617" i="33"/>
  <c r="J619" i="33" s="1"/>
  <c r="J51" i="33" s="1"/>
  <c r="K617" i="33"/>
  <c r="K619" i="33" s="1"/>
  <c r="L617" i="33"/>
  <c r="L619" i="33" s="1"/>
  <c r="L51" i="33" s="1"/>
  <c r="M617" i="33"/>
  <c r="M619" i="33" s="1"/>
  <c r="N617" i="33"/>
  <c r="N619" i="33" s="1"/>
  <c r="N51" i="33" s="1"/>
  <c r="D618" i="33"/>
  <c r="E618" i="33"/>
  <c r="F618" i="33"/>
  <c r="G618" i="33"/>
  <c r="H618" i="33"/>
  <c r="I618" i="33"/>
  <c r="J618" i="33"/>
  <c r="K618" i="33"/>
  <c r="L618" i="33"/>
  <c r="M618" i="33"/>
  <c r="N618" i="33"/>
  <c r="C618" i="33"/>
  <c r="C617" i="33"/>
  <c r="C619" i="33" s="1"/>
  <c r="C51" i="33" s="1"/>
  <c r="D609" i="33"/>
  <c r="D611" i="33" s="1"/>
  <c r="D32" i="33" s="1"/>
  <c r="E609" i="33"/>
  <c r="E611" i="33" s="1"/>
  <c r="F609" i="33"/>
  <c r="F611" i="33" s="1"/>
  <c r="F32" i="33" s="1"/>
  <c r="G609" i="33"/>
  <c r="G611" i="33" s="1"/>
  <c r="H609" i="33"/>
  <c r="H611" i="33" s="1"/>
  <c r="H32" i="33" s="1"/>
  <c r="I609" i="33"/>
  <c r="I611" i="33" s="1"/>
  <c r="J609" i="33"/>
  <c r="J611" i="33" s="1"/>
  <c r="J32" i="33" s="1"/>
  <c r="K609" i="33"/>
  <c r="K611" i="33" s="1"/>
  <c r="L609" i="33"/>
  <c r="L611" i="33" s="1"/>
  <c r="L32" i="33" s="1"/>
  <c r="M609" i="33"/>
  <c r="M611" i="33" s="1"/>
  <c r="N609" i="33"/>
  <c r="N611" i="33" s="1"/>
  <c r="N32" i="33" s="1"/>
  <c r="D610" i="33"/>
  <c r="E610" i="33"/>
  <c r="F610" i="33"/>
  <c r="G610" i="33"/>
  <c r="H610" i="33"/>
  <c r="I610" i="33"/>
  <c r="J610" i="33"/>
  <c r="K610" i="33"/>
  <c r="L610" i="33"/>
  <c r="M610" i="33"/>
  <c r="N610" i="33"/>
  <c r="C610" i="33"/>
  <c r="C609" i="33"/>
  <c r="D619" i="33"/>
  <c r="D51" i="33" s="1"/>
  <c r="N98" i="36"/>
  <c r="N624" i="33" s="1"/>
  <c r="M98" i="36"/>
  <c r="M624" i="33" s="1"/>
  <c r="L98" i="36"/>
  <c r="L624" i="33" s="1"/>
  <c r="K98" i="36"/>
  <c r="K624" i="33" s="1"/>
  <c r="J98" i="36"/>
  <c r="J624" i="33" s="1"/>
  <c r="I98" i="36"/>
  <c r="I624" i="33" s="1"/>
  <c r="H98" i="36"/>
  <c r="H624" i="33" s="1"/>
  <c r="G98" i="36"/>
  <c r="G624" i="33" s="1"/>
  <c r="F98" i="36"/>
  <c r="F624" i="33" s="1"/>
  <c r="E98" i="36"/>
  <c r="E624" i="33" s="1"/>
  <c r="D98" i="36"/>
  <c r="D624" i="33" s="1"/>
  <c r="C98" i="36"/>
  <c r="C624" i="33" s="1"/>
  <c r="P97" i="36"/>
  <c r="P96" i="36"/>
  <c r="P95" i="36"/>
  <c r="P94" i="36"/>
  <c r="P93" i="36"/>
  <c r="P92" i="36"/>
  <c r="P91" i="36"/>
  <c r="P90" i="36"/>
  <c r="P89" i="36"/>
  <c r="P88" i="36"/>
  <c r="N85" i="36"/>
  <c r="N616" i="33" s="1"/>
  <c r="M85" i="36"/>
  <c r="M616" i="33" s="1"/>
  <c r="L85" i="36"/>
  <c r="L616" i="33" s="1"/>
  <c r="K85" i="36"/>
  <c r="K616" i="33" s="1"/>
  <c r="J85" i="36"/>
  <c r="J616" i="33" s="1"/>
  <c r="I85" i="36"/>
  <c r="I616" i="33" s="1"/>
  <c r="H85" i="36"/>
  <c r="H616" i="33" s="1"/>
  <c r="G85" i="36"/>
  <c r="G616" i="33" s="1"/>
  <c r="F85" i="36"/>
  <c r="F616" i="33" s="1"/>
  <c r="E85" i="36"/>
  <c r="E616" i="33" s="1"/>
  <c r="D85" i="36"/>
  <c r="D616" i="33" s="1"/>
  <c r="C85" i="36"/>
  <c r="C616" i="33" s="1"/>
  <c r="P84" i="36"/>
  <c r="P83" i="36"/>
  <c r="P82" i="36"/>
  <c r="P81" i="36"/>
  <c r="P80" i="36"/>
  <c r="P79" i="36"/>
  <c r="P78" i="36"/>
  <c r="P77" i="36"/>
  <c r="P76" i="36"/>
  <c r="P75" i="36"/>
  <c r="N72" i="36"/>
  <c r="N608" i="33" s="1"/>
  <c r="M72" i="36"/>
  <c r="M608" i="33" s="1"/>
  <c r="L72" i="36"/>
  <c r="L608" i="33" s="1"/>
  <c r="K72" i="36"/>
  <c r="K608" i="33" s="1"/>
  <c r="J72" i="36"/>
  <c r="J608" i="33" s="1"/>
  <c r="I72" i="36"/>
  <c r="I608" i="33" s="1"/>
  <c r="H72" i="36"/>
  <c r="H608" i="33" s="1"/>
  <c r="G72" i="36"/>
  <c r="G608" i="33" s="1"/>
  <c r="F72" i="36"/>
  <c r="F608" i="33" s="1"/>
  <c r="E72" i="36"/>
  <c r="E608" i="33" s="1"/>
  <c r="D72" i="36"/>
  <c r="D608" i="33" s="1"/>
  <c r="C72" i="36"/>
  <c r="C608" i="33" s="1"/>
  <c r="P71" i="36"/>
  <c r="P70" i="36"/>
  <c r="P69" i="36"/>
  <c r="P68" i="36"/>
  <c r="P67" i="36"/>
  <c r="P66" i="36"/>
  <c r="P65" i="36"/>
  <c r="P64" i="36"/>
  <c r="P63" i="36"/>
  <c r="P62" i="36"/>
  <c r="D599" i="33"/>
  <c r="D601" i="33" s="1"/>
  <c r="E599" i="33"/>
  <c r="E601" i="33" s="1"/>
  <c r="F599" i="33"/>
  <c r="F601" i="33" s="1"/>
  <c r="G599" i="33"/>
  <c r="G601" i="33" s="1"/>
  <c r="G75" i="33" s="1"/>
  <c r="H599" i="33"/>
  <c r="H601" i="33" s="1"/>
  <c r="H75" i="33" s="1"/>
  <c r="I599" i="33"/>
  <c r="I601" i="33" s="1"/>
  <c r="J599" i="33"/>
  <c r="J601" i="33" s="1"/>
  <c r="J75" i="33" s="1"/>
  <c r="K599" i="33"/>
  <c r="K601" i="33" s="1"/>
  <c r="K75" i="33" s="1"/>
  <c r="L599" i="33"/>
  <c r="L601" i="33" s="1"/>
  <c r="M599" i="33"/>
  <c r="M601" i="33" s="1"/>
  <c r="N599" i="33"/>
  <c r="N601" i="33" s="1"/>
  <c r="N75" i="33" s="1"/>
  <c r="D600" i="33"/>
  <c r="E600" i="33"/>
  <c r="F600" i="33"/>
  <c r="G600" i="33"/>
  <c r="H600" i="33"/>
  <c r="I600" i="33"/>
  <c r="J600" i="33"/>
  <c r="K600" i="33"/>
  <c r="L600" i="33"/>
  <c r="M600" i="33"/>
  <c r="N600" i="33"/>
  <c r="C600" i="33"/>
  <c r="C599" i="33"/>
  <c r="D584" i="33"/>
  <c r="E584" i="33"/>
  <c r="F584" i="33"/>
  <c r="G584" i="33"/>
  <c r="H584" i="33"/>
  <c r="I584" i="33"/>
  <c r="J584" i="33"/>
  <c r="K584" i="33"/>
  <c r="L584" i="33"/>
  <c r="M584" i="33"/>
  <c r="N584" i="33"/>
  <c r="C584" i="33"/>
  <c r="C583" i="33"/>
  <c r="D591" i="33"/>
  <c r="D593" i="33" s="1"/>
  <c r="D56" i="33" s="1"/>
  <c r="E591" i="33"/>
  <c r="E593" i="33" s="1"/>
  <c r="F591" i="33"/>
  <c r="F593" i="33" s="1"/>
  <c r="F56" i="33" s="1"/>
  <c r="G591" i="33"/>
  <c r="G593" i="33" s="1"/>
  <c r="G56" i="33" s="1"/>
  <c r="H591" i="33"/>
  <c r="H593" i="33" s="1"/>
  <c r="H56" i="33" s="1"/>
  <c r="I591" i="33"/>
  <c r="I593" i="33" s="1"/>
  <c r="J591" i="33"/>
  <c r="J593" i="33" s="1"/>
  <c r="J56" i="33" s="1"/>
  <c r="K591" i="33"/>
  <c r="K593" i="33" s="1"/>
  <c r="K56" i="33" s="1"/>
  <c r="L591" i="33"/>
  <c r="L593" i="33" s="1"/>
  <c r="L56" i="33" s="1"/>
  <c r="M591" i="33"/>
  <c r="M593" i="33" s="1"/>
  <c r="N591" i="33"/>
  <c r="N593" i="33" s="1"/>
  <c r="N56" i="33" s="1"/>
  <c r="D592" i="33"/>
  <c r="E592" i="33"/>
  <c r="F592" i="33"/>
  <c r="G592" i="33"/>
  <c r="H592" i="33"/>
  <c r="I592" i="33"/>
  <c r="J592" i="33"/>
  <c r="K592" i="33"/>
  <c r="L592" i="33"/>
  <c r="M592" i="33"/>
  <c r="N592" i="33"/>
  <c r="C592" i="33"/>
  <c r="C591" i="33"/>
  <c r="C593" i="33" s="1"/>
  <c r="C56" i="33" s="1"/>
  <c r="D583" i="33"/>
  <c r="E583" i="33"/>
  <c r="E585" i="33" s="1"/>
  <c r="E37" i="33" s="1"/>
  <c r="F583" i="33"/>
  <c r="F585" i="33" s="1"/>
  <c r="F37" i="33" s="1"/>
  <c r="G583" i="33"/>
  <c r="G585" i="33" s="1"/>
  <c r="H583" i="33"/>
  <c r="H585" i="33" s="1"/>
  <c r="H37" i="33" s="1"/>
  <c r="I583" i="33"/>
  <c r="I585" i="33" s="1"/>
  <c r="J583" i="33"/>
  <c r="J585" i="33" s="1"/>
  <c r="K583" i="33"/>
  <c r="K585" i="33" s="1"/>
  <c r="K37" i="33" s="1"/>
  <c r="L583" i="33"/>
  <c r="L585" i="33" s="1"/>
  <c r="M583" i="33"/>
  <c r="M585" i="33" s="1"/>
  <c r="M37" i="33" s="1"/>
  <c r="N583" i="33"/>
  <c r="N585" i="33" s="1"/>
  <c r="N57" i="36"/>
  <c r="N598" i="33" s="1"/>
  <c r="M57" i="36"/>
  <c r="M598" i="33" s="1"/>
  <c r="L57" i="36"/>
  <c r="L598" i="33" s="1"/>
  <c r="K57" i="36"/>
  <c r="K598" i="33" s="1"/>
  <c r="J57" i="36"/>
  <c r="J598" i="33" s="1"/>
  <c r="I57" i="36"/>
  <c r="I598" i="33" s="1"/>
  <c r="H57" i="36"/>
  <c r="H598" i="33" s="1"/>
  <c r="G57" i="36"/>
  <c r="G598" i="33" s="1"/>
  <c r="F57" i="36"/>
  <c r="F598" i="33" s="1"/>
  <c r="E57" i="36"/>
  <c r="E598" i="33" s="1"/>
  <c r="D57" i="36"/>
  <c r="D598" i="33" s="1"/>
  <c r="C57" i="36"/>
  <c r="C598" i="33" s="1"/>
  <c r="P56" i="36"/>
  <c r="P55" i="36"/>
  <c r="P54" i="36"/>
  <c r="P53" i="36"/>
  <c r="P52" i="36"/>
  <c r="P51" i="36"/>
  <c r="P50" i="36"/>
  <c r="P49" i="36"/>
  <c r="P48" i="36"/>
  <c r="P47" i="36"/>
  <c r="N44" i="36"/>
  <c r="N590" i="33" s="1"/>
  <c r="M44" i="36"/>
  <c r="M590" i="33" s="1"/>
  <c r="L44" i="36"/>
  <c r="L590" i="33" s="1"/>
  <c r="K44" i="36"/>
  <c r="K590" i="33" s="1"/>
  <c r="J44" i="36"/>
  <c r="J590" i="33" s="1"/>
  <c r="I44" i="36"/>
  <c r="I590" i="33" s="1"/>
  <c r="H44" i="36"/>
  <c r="H590" i="33" s="1"/>
  <c r="G44" i="36"/>
  <c r="G590" i="33" s="1"/>
  <c r="F44" i="36"/>
  <c r="F590" i="33" s="1"/>
  <c r="E44" i="36"/>
  <c r="E590" i="33" s="1"/>
  <c r="D44" i="36"/>
  <c r="D590" i="33" s="1"/>
  <c r="C44" i="36"/>
  <c r="C590" i="33" s="1"/>
  <c r="P43" i="36"/>
  <c r="P42" i="36"/>
  <c r="P41" i="36"/>
  <c r="P40" i="36"/>
  <c r="P39" i="36"/>
  <c r="P38" i="36"/>
  <c r="P37" i="36"/>
  <c r="P36" i="36"/>
  <c r="P35" i="36"/>
  <c r="P34" i="36"/>
  <c r="P22" i="36"/>
  <c r="P23" i="36"/>
  <c r="P24" i="36"/>
  <c r="P25" i="36"/>
  <c r="P26" i="36"/>
  <c r="P27" i="36"/>
  <c r="P28" i="36"/>
  <c r="P29" i="36"/>
  <c r="P30" i="36"/>
  <c r="P21" i="36"/>
  <c r="D567" i="33"/>
  <c r="D11" i="13" s="1"/>
  <c r="G11" i="13" s="1"/>
  <c r="E567" i="33"/>
  <c r="F11" i="13" s="1"/>
  <c r="C567" i="33"/>
  <c r="C11" i="13" s="1"/>
  <c r="E11" i="13" s="1"/>
  <c r="N31" i="36"/>
  <c r="N582" i="33" s="1"/>
  <c r="M31" i="36"/>
  <c r="M582" i="33" s="1"/>
  <c r="L31" i="36"/>
  <c r="L582" i="33" s="1"/>
  <c r="K31" i="36"/>
  <c r="K582" i="33" s="1"/>
  <c r="J31" i="36"/>
  <c r="J582" i="33" s="1"/>
  <c r="I31" i="36"/>
  <c r="I582" i="33" s="1"/>
  <c r="H31" i="36"/>
  <c r="H582" i="33" s="1"/>
  <c r="G31" i="36"/>
  <c r="G582" i="33" s="1"/>
  <c r="F31" i="36"/>
  <c r="F582" i="33" s="1"/>
  <c r="E31" i="36"/>
  <c r="E582" i="33" s="1"/>
  <c r="D31" i="36"/>
  <c r="D582" i="33" s="1"/>
  <c r="C31" i="36"/>
  <c r="C582" i="33" s="1"/>
  <c r="K620" i="33" l="1"/>
  <c r="K621" i="33" s="1"/>
  <c r="J39" i="7" s="1"/>
  <c r="E628" i="33"/>
  <c r="E629" i="33" s="1"/>
  <c r="D68" i="7" s="1"/>
  <c r="I620" i="33"/>
  <c r="I621" i="33" s="1"/>
  <c r="H39" i="7" s="1"/>
  <c r="F628" i="33"/>
  <c r="F629" i="33" s="1"/>
  <c r="E68" i="7" s="1"/>
  <c r="I612" i="33"/>
  <c r="I613" i="33" s="1"/>
  <c r="H11" i="7" s="1"/>
  <c r="K612" i="33"/>
  <c r="K613" i="33" s="1"/>
  <c r="J11" i="7" s="1"/>
  <c r="K628" i="33"/>
  <c r="K629" i="33" s="1"/>
  <c r="J68" i="7" s="1"/>
  <c r="K70" i="33"/>
  <c r="F70" i="33"/>
  <c r="E70" i="33"/>
  <c r="G620" i="33"/>
  <c r="G621" i="33" s="1"/>
  <c r="F39" i="7" s="1"/>
  <c r="G628" i="33"/>
  <c r="G629" i="33" s="1"/>
  <c r="F68" i="7" s="1"/>
  <c r="G70" i="33"/>
  <c r="M620" i="33"/>
  <c r="M621" i="33" s="1"/>
  <c r="L39" i="7" s="1"/>
  <c r="E620" i="33"/>
  <c r="E621" i="33" s="1"/>
  <c r="D39" i="7" s="1"/>
  <c r="M628" i="33"/>
  <c r="M629" i="33" s="1"/>
  <c r="L68" i="7" s="1"/>
  <c r="I628" i="33"/>
  <c r="I629" i="33" s="1"/>
  <c r="H68" i="7" s="1"/>
  <c r="M51" i="33"/>
  <c r="I51" i="33"/>
  <c r="E51" i="33"/>
  <c r="H620" i="33"/>
  <c r="H621" i="33" s="1"/>
  <c r="G39" i="7" s="1"/>
  <c r="H51" i="33"/>
  <c r="K51" i="33"/>
  <c r="G51" i="33"/>
  <c r="G612" i="33"/>
  <c r="G613" i="33" s="1"/>
  <c r="F11" i="7" s="1"/>
  <c r="G32" i="33"/>
  <c r="M612" i="33"/>
  <c r="M613" i="33" s="1"/>
  <c r="L11" i="7" s="1"/>
  <c r="M32" i="33"/>
  <c r="E612" i="33"/>
  <c r="E613" i="33" s="1"/>
  <c r="D11" i="7" s="1"/>
  <c r="E32" i="33"/>
  <c r="I32" i="33"/>
  <c r="O616" i="33"/>
  <c r="D5" i="13" s="1"/>
  <c r="G5" i="13" s="1"/>
  <c r="N612" i="33"/>
  <c r="N613" i="33" s="1"/>
  <c r="M11" i="7" s="1"/>
  <c r="J612" i="33"/>
  <c r="J613" i="33" s="1"/>
  <c r="I11" i="7" s="1"/>
  <c r="F612" i="33"/>
  <c r="F613" i="33" s="1"/>
  <c r="E11" i="7" s="1"/>
  <c r="N628" i="33"/>
  <c r="N629" i="33" s="1"/>
  <c r="M68" i="7" s="1"/>
  <c r="J628" i="33"/>
  <c r="J629" i="33" s="1"/>
  <c r="I68" i="7" s="1"/>
  <c r="K32" i="33"/>
  <c r="L620" i="33"/>
  <c r="L621" i="33" s="1"/>
  <c r="K39" i="7" s="1"/>
  <c r="L612" i="33"/>
  <c r="L613" i="33" s="1"/>
  <c r="K11" i="7" s="1"/>
  <c r="H612" i="33"/>
  <c r="H613" i="33" s="1"/>
  <c r="G11" i="7" s="1"/>
  <c r="D612" i="33"/>
  <c r="D613" i="33" s="1"/>
  <c r="C11" i="7" s="1"/>
  <c r="L628" i="33"/>
  <c r="L629" i="33" s="1"/>
  <c r="K68" i="7" s="1"/>
  <c r="H628" i="33"/>
  <c r="H629" i="33" s="1"/>
  <c r="G68" i="7" s="1"/>
  <c r="D628" i="33"/>
  <c r="D629" i="33" s="1"/>
  <c r="C68" i="7" s="1"/>
  <c r="D620" i="33"/>
  <c r="D621" i="33" s="1"/>
  <c r="C39" i="7" s="1"/>
  <c r="O608" i="33"/>
  <c r="C5" i="13" s="1"/>
  <c r="E5" i="13" s="1"/>
  <c r="O624" i="33"/>
  <c r="F5" i="13" s="1"/>
  <c r="O609" i="33"/>
  <c r="O625" i="33"/>
  <c r="O626" i="33"/>
  <c r="O618" i="33"/>
  <c r="O610" i="33"/>
  <c r="F620" i="33"/>
  <c r="F621" i="33" s="1"/>
  <c r="E39" i="7" s="1"/>
  <c r="J620" i="33"/>
  <c r="J621" i="33" s="1"/>
  <c r="I39" i="7" s="1"/>
  <c r="N620" i="33"/>
  <c r="N621" i="33" s="1"/>
  <c r="M39" i="7" s="1"/>
  <c r="O619" i="33"/>
  <c r="C620" i="33"/>
  <c r="C611" i="33"/>
  <c r="C32" i="33" s="1"/>
  <c r="O617" i="33"/>
  <c r="C627" i="33"/>
  <c r="C70" i="33" s="1"/>
  <c r="L602" i="33"/>
  <c r="L603" i="33" s="1"/>
  <c r="K83" i="7" s="1"/>
  <c r="P72" i="36"/>
  <c r="P85" i="36"/>
  <c r="P98" i="36"/>
  <c r="M602" i="33"/>
  <c r="M603" i="33" s="1"/>
  <c r="L83" i="7" s="1"/>
  <c r="I594" i="33"/>
  <c r="I595" i="33" s="1"/>
  <c r="H54" i="7" s="1"/>
  <c r="F602" i="33"/>
  <c r="F603" i="33" s="1"/>
  <c r="E83" i="7" s="1"/>
  <c r="D602" i="33"/>
  <c r="D603" i="33" s="1"/>
  <c r="C83" i="7" s="1"/>
  <c r="L75" i="33"/>
  <c r="I602" i="33"/>
  <c r="I603" i="33" s="1"/>
  <c r="H83" i="7" s="1"/>
  <c r="I75" i="33"/>
  <c r="E602" i="33"/>
  <c r="E603" i="33" s="1"/>
  <c r="D83" i="7" s="1"/>
  <c r="E75" i="33"/>
  <c r="D75" i="33"/>
  <c r="F75" i="33"/>
  <c r="J586" i="33"/>
  <c r="J587" i="33" s="1"/>
  <c r="I26" i="7" s="1"/>
  <c r="M75" i="33"/>
  <c r="M594" i="33"/>
  <c r="M595" i="33" s="1"/>
  <c r="L54" i="7" s="1"/>
  <c r="M56" i="33"/>
  <c r="E594" i="33"/>
  <c r="E595" i="33" s="1"/>
  <c r="D54" i="7" s="1"/>
  <c r="E56" i="33"/>
  <c r="I56" i="33"/>
  <c r="N586" i="33"/>
  <c r="N587" i="33" s="1"/>
  <c r="M26" i="7" s="1"/>
  <c r="I586" i="33"/>
  <c r="I587" i="33" s="1"/>
  <c r="H26" i="7" s="1"/>
  <c r="L586" i="33"/>
  <c r="L587" i="33" s="1"/>
  <c r="K26" i="7" s="1"/>
  <c r="L37" i="33"/>
  <c r="N37" i="33"/>
  <c r="J37" i="33"/>
  <c r="I37" i="33"/>
  <c r="G586" i="33"/>
  <c r="G587" i="33" s="1"/>
  <c r="F26" i="7" s="1"/>
  <c r="O590" i="33"/>
  <c r="D17" i="13" s="1"/>
  <c r="G17" i="13" s="1"/>
  <c r="L594" i="33"/>
  <c r="L595" i="33" s="1"/>
  <c r="K54" i="7" s="1"/>
  <c r="N594" i="33"/>
  <c r="N595" i="33" s="1"/>
  <c r="M54" i="7" s="1"/>
  <c r="J594" i="33"/>
  <c r="J595" i="33" s="1"/>
  <c r="I54" i="7" s="1"/>
  <c r="F594" i="33"/>
  <c r="F595" i="33" s="1"/>
  <c r="E54" i="7" s="1"/>
  <c r="G37" i="33"/>
  <c r="F586" i="33"/>
  <c r="F587" i="33" s="1"/>
  <c r="E26" i="7" s="1"/>
  <c r="H594" i="33"/>
  <c r="H595" i="33" s="1"/>
  <c r="G54" i="7" s="1"/>
  <c r="K594" i="33"/>
  <c r="K595" i="33" s="1"/>
  <c r="J54" i="7" s="1"/>
  <c r="M586" i="33"/>
  <c r="M587" i="33" s="1"/>
  <c r="L26" i="7" s="1"/>
  <c r="H586" i="33"/>
  <c r="H587" i="33" s="1"/>
  <c r="G26" i="7" s="1"/>
  <c r="G594" i="33"/>
  <c r="G595" i="33" s="1"/>
  <c r="F54" i="7" s="1"/>
  <c r="P57" i="36"/>
  <c r="D594" i="33"/>
  <c r="D595" i="33" s="1"/>
  <c r="C54" i="7" s="1"/>
  <c r="P44" i="36"/>
  <c r="O600" i="33" s="1"/>
  <c r="H602" i="33"/>
  <c r="H603" i="33" s="1"/>
  <c r="G83" i="7" s="1"/>
  <c r="O598" i="33"/>
  <c r="F17" i="13" s="1"/>
  <c r="O592" i="33"/>
  <c r="O591" i="33"/>
  <c r="O599" i="33"/>
  <c r="G602" i="33"/>
  <c r="G603" i="33" s="1"/>
  <c r="F83" i="7" s="1"/>
  <c r="J602" i="33"/>
  <c r="J603" i="33" s="1"/>
  <c r="I83" i="7" s="1"/>
  <c r="K602" i="33"/>
  <c r="K603" i="33" s="1"/>
  <c r="J83" i="7" s="1"/>
  <c r="N602" i="33"/>
  <c r="N603" i="33" s="1"/>
  <c r="M83" i="7" s="1"/>
  <c r="C601" i="33"/>
  <c r="C75" i="33" s="1"/>
  <c r="O593" i="33"/>
  <c r="C594" i="33"/>
  <c r="E586" i="33"/>
  <c r="E587" i="33" s="1"/>
  <c r="D26" i="7" s="1"/>
  <c r="O582" i="33"/>
  <c r="C17" i="13" s="1"/>
  <c r="E17" i="13" s="1"/>
  <c r="P31" i="36"/>
  <c r="O584" i="33"/>
  <c r="K586" i="33"/>
  <c r="K587" i="33" s="1"/>
  <c r="J26" i="7" s="1"/>
  <c r="C585" i="33"/>
  <c r="C37" i="33" s="1"/>
  <c r="E568" i="33"/>
  <c r="M80" i="7" s="1"/>
  <c r="D568" i="33"/>
  <c r="M51" i="7" s="1"/>
  <c r="C568" i="33"/>
  <c r="M23" i="7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E37" i="2"/>
  <c r="G37" i="2" s="1"/>
  <c r="E38" i="2"/>
  <c r="G38" i="2" s="1"/>
  <c r="E39" i="2"/>
  <c r="G39" i="2" s="1"/>
  <c r="E40" i="2"/>
  <c r="G40" i="2"/>
  <c r="E41" i="2"/>
  <c r="G41" i="2" s="1"/>
  <c r="E42" i="2"/>
  <c r="G42" i="2" s="1"/>
  <c r="E43" i="2"/>
  <c r="G43" i="2" s="1"/>
  <c r="E44" i="2"/>
  <c r="G44" i="2" s="1"/>
  <c r="E45" i="2"/>
  <c r="G45" i="2" s="1"/>
  <c r="E46" i="2"/>
  <c r="G46" i="2" s="1"/>
  <c r="E47" i="2"/>
  <c r="G47" i="2" s="1"/>
  <c r="E48" i="2"/>
  <c r="G48" i="2" s="1"/>
  <c r="E49" i="2"/>
  <c r="G49" i="2" s="1"/>
  <c r="E50" i="2"/>
  <c r="G50" i="2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/>
  <c r="E57" i="2"/>
  <c r="G57" i="2" s="1"/>
  <c r="E58" i="2"/>
  <c r="G58" i="2" s="1"/>
  <c r="E59" i="2"/>
  <c r="G59" i="2" s="1"/>
  <c r="E60" i="2"/>
  <c r="G60" i="2" s="1"/>
  <c r="E61" i="2"/>
  <c r="G61" i="2" s="1"/>
  <c r="E62" i="2"/>
  <c r="G62" i="2" s="1"/>
  <c r="E63" i="2"/>
  <c r="G63" i="2" s="1"/>
  <c r="E64" i="2"/>
  <c r="G64" i="2"/>
  <c r="E65" i="2"/>
  <c r="G65" i="2" s="1"/>
  <c r="E66" i="2"/>
  <c r="G66" i="2"/>
  <c r="E67" i="2"/>
  <c r="G67" i="2" s="1"/>
  <c r="E68" i="2"/>
  <c r="G68" i="2" s="1"/>
  <c r="E69" i="2"/>
  <c r="G69" i="2" s="1"/>
  <c r="E70" i="2"/>
  <c r="G70" i="2" s="1"/>
  <c r="E17" i="2"/>
  <c r="G17" i="2" s="1"/>
  <c r="B118" i="33"/>
  <c r="B119" i="33"/>
  <c r="B120" i="33"/>
  <c r="B121" i="33"/>
  <c r="B122" i="33"/>
  <c r="B123" i="33"/>
  <c r="B124" i="33"/>
  <c r="B125" i="33"/>
  <c r="B126" i="33"/>
  <c r="B127" i="33"/>
  <c r="B128" i="33"/>
  <c r="B129" i="33"/>
  <c r="B130" i="33"/>
  <c r="B131" i="33"/>
  <c r="B132" i="33"/>
  <c r="B133" i="33"/>
  <c r="B134" i="33"/>
  <c r="B135" i="33"/>
  <c r="B136" i="33"/>
  <c r="B137" i="33"/>
  <c r="B138" i="33"/>
  <c r="B139" i="33"/>
  <c r="B140" i="33"/>
  <c r="B141" i="33"/>
  <c r="B142" i="33"/>
  <c r="B143" i="33"/>
  <c r="B144" i="33"/>
  <c r="B145" i="33"/>
  <c r="B146" i="33"/>
  <c r="B147" i="33"/>
  <c r="B148" i="33"/>
  <c r="B149" i="33"/>
  <c r="B150" i="33"/>
  <c r="B151" i="33"/>
  <c r="B152" i="33"/>
  <c r="B153" i="33"/>
  <c r="B154" i="33"/>
  <c r="B155" i="33"/>
  <c r="B156" i="33"/>
  <c r="B157" i="33"/>
  <c r="B158" i="33"/>
  <c r="B159" i="33"/>
  <c r="B160" i="33"/>
  <c r="B161" i="33"/>
  <c r="B162" i="33"/>
  <c r="B163" i="33"/>
  <c r="B164" i="33"/>
  <c r="B165" i="33"/>
  <c r="B166" i="33"/>
  <c r="B167" i="33"/>
  <c r="B168" i="33"/>
  <c r="B169" i="33"/>
  <c r="B170" i="33"/>
  <c r="B117" i="33"/>
  <c r="C118" i="33"/>
  <c r="D118" i="33"/>
  <c r="F118" i="33"/>
  <c r="H118" i="33"/>
  <c r="I118" i="33"/>
  <c r="J118" i="33"/>
  <c r="C119" i="33"/>
  <c r="D119" i="33"/>
  <c r="F119" i="33"/>
  <c r="H119" i="33"/>
  <c r="I119" i="33"/>
  <c r="J119" i="33"/>
  <c r="C120" i="33"/>
  <c r="D120" i="33"/>
  <c r="F120" i="33"/>
  <c r="H120" i="33"/>
  <c r="I120" i="33"/>
  <c r="J120" i="33"/>
  <c r="C121" i="33"/>
  <c r="D121" i="33"/>
  <c r="F121" i="33"/>
  <c r="H121" i="33"/>
  <c r="I121" i="33"/>
  <c r="J121" i="33"/>
  <c r="C122" i="33"/>
  <c r="D122" i="33"/>
  <c r="F122" i="33"/>
  <c r="H122" i="33"/>
  <c r="I122" i="33"/>
  <c r="J122" i="33"/>
  <c r="C123" i="33"/>
  <c r="D123" i="33"/>
  <c r="F123" i="33"/>
  <c r="H123" i="33"/>
  <c r="I123" i="33"/>
  <c r="J123" i="33"/>
  <c r="C124" i="33"/>
  <c r="D124" i="33"/>
  <c r="F124" i="33"/>
  <c r="H124" i="33"/>
  <c r="I124" i="33"/>
  <c r="J124" i="33"/>
  <c r="C125" i="33"/>
  <c r="D125" i="33"/>
  <c r="F125" i="33"/>
  <c r="H125" i="33"/>
  <c r="I125" i="33"/>
  <c r="J125" i="33"/>
  <c r="C126" i="33"/>
  <c r="D126" i="33"/>
  <c r="F126" i="33"/>
  <c r="H126" i="33"/>
  <c r="I126" i="33"/>
  <c r="J126" i="33"/>
  <c r="C127" i="33"/>
  <c r="D127" i="33"/>
  <c r="F127" i="33"/>
  <c r="H127" i="33"/>
  <c r="I127" i="33"/>
  <c r="J127" i="33"/>
  <c r="C128" i="33"/>
  <c r="D128" i="33"/>
  <c r="F128" i="33"/>
  <c r="H128" i="33"/>
  <c r="I128" i="33"/>
  <c r="J128" i="33"/>
  <c r="C129" i="33"/>
  <c r="D129" i="33"/>
  <c r="F129" i="33"/>
  <c r="H129" i="33"/>
  <c r="I129" i="33"/>
  <c r="J129" i="33"/>
  <c r="C130" i="33"/>
  <c r="D130" i="33"/>
  <c r="F130" i="33"/>
  <c r="H130" i="33"/>
  <c r="I130" i="33"/>
  <c r="J130" i="33"/>
  <c r="C131" i="33"/>
  <c r="D131" i="33"/>
  <c r="F131" i="33"/>
  <c r="H131" i="33"/>
  <c r="I131" i="33"/>
  <c r="J131" i="33"/>
  <c r="C132" i="33"/>
  <c r="D132" i="33"/>
  <c r="F132" i="33"/>
  <c r="H132" i="33"/>
  <c r="I132" i="33"/>
  <c r="J132" i="33"/>
  <c r="C133" i="33"/>
  <c r="D133" i="33"/>
  <c r="F133" i="33"/>
  <c r="H133" i="33"/>
  <c r="I133" i="33"/>
  <c r="J133" i="33"/>
  <c r="C134" i="33"/>
  <c r="D134" i="33"/>
  <c r="F134" i="33"/>
  <c r="H134" i="33"/>
  <c r="I134" i="33"/>
  <c r="J134" i="33"/>
  <c r="C135" i="33"/>
  <c r="D135" i="33"/>
  <c r="F135" i="33"/>
  <c r="H135" i="33"/>
  <c r="I135" i="33"/>
  <c r="J135" i="33"/>
  <c r="C136" i="33"/>
  <c r="D136" i="33"/>
  <c r="F136" i="33"/>
  <c r="H136" i="33"/>
  <c r="I136" i="33"/>
  <c r="J136" i="33"/>
  <c r="C137" i="33"/>
  <c r="D137" i="33"/>
  <c r="F137" i="33"/>
  <c r="H137" i="33"/>
  <c r="I137" i="33"/>
  <c r="J137" i="33"/>
  <c r="C138" i="33"/>
  <c r="D138" i="33"/>
  <c r="F138" i="33"/>
  <c r="H138" i="33"/>
  <c r="I138" i="33"/>
  <c r="J138" i="33"/>
  <c r="C139" i="33"/>
  <c r="D139" i="33"/>
  <c r="F139" i="33"/>
  <c r="H139" i="33"/>
  <c r="I139" i="33"/>
  <c r="J139" i="33"/>
  <c r="C140" i="33"/>
  <c r="D140" i="33"/>
  <c r="F140" i="33"/>
  <c r="H140" i="33"/>
  <c r="I140" i="33"/>
  <c r="J140" i="33"/>
  <c r="C141" i="33"/>
  <c r="D141" i="33"/>
  <c r="F141" i="33"/>
  <c r="H141" i="33"/>
  <c r="I141" i="33"/>
  <c r="J141" i="33"/>
  <c r="C142" i="33"/>
  <c r="D142" i="33"/>
  <c r="F142" i="33"/>
  <c r="H142" i="33"/>
  <c r="I142" i="33"/>
  <c r="J142" i="33"/>
  <c r="C143" i="33"/>
  <c r="D143" i="33"/>
  <c r="F143" i="33"/>
  <c r="H143" i="33"/>
  <c r="I143" i="33"/>
  <c r="J143" i="33"/>
  <c r="C144" i="33"/>
  <c r="D144" i="33"/>
  <c r="F144" i="33"/>
  <c r="H144" i="33"/>
  <c r="I144" i="33"/>
  <c r="J144" i="33"/>
  <c r="C145" i="33"/>
  <c r="D145" i="33"/>
  <c r="F145" i="33"/>
  <c r="H145" i="33"/>
  <c r="I145" i="33"/>
  <c r="J145" i="33"/>
  <c r="C146" i="33"/>
  <c r="D146" i="33"/>
  <c r="F146" i="33"/>
  <c r="H146" i="33"/>
  <c r="I146" i="33"/>
  <c r="J146" i="33"/>
  <c r="C147" i="33"/>
  <c r="D147" i="33"/>
  <c r="F147" i="33"/>
  <c r="H147" i="33"/>
  <c r="I147" i="33"/>
  <c r="J147" i="33"/>
  <c r="C148" i="33"/>
  <c r="D148" i="33"/>
  <c r="F148" i="33"/>
  <c r="H148" i="33"/>
  <c r="I148" i="33"/>
  <c r="J148" i="33"/>
  <c r="C149" i="33"/>
  <c r="D149" i="33"/>
  <c r="F149" i="33"/>
  <c r="H149" i="33"/>
  <c r="I149" i="33"/>
  <c r="J149" i="33"/>
  <c r="C150" i="33"/>
  <c r="D150" i="33"/>
  <c r="F150" i="33"/>
  <c r="H150" i="33"/>
  <c r="I150" i="33"/>
  <c r="J150" i="33"/>
  <c r="C151" i="33"/>
  <c r="D151" i="33"/>
  <c r="F151" i="33"/>
  <c r="H151" i="33"/>
  <c r="I151" i="33"/>
  <c r="J151" i="33"/>
  <c r="C152" i="33"/>
  <c r="D152" i="33"/>
  <c r="F152" i="33"/>
  <c r="H152" i="33"/>
  <c r="I152" i="33"/>
  <c r="J152" i="33"/>
  <c r="C153" i="33"/>
  <c r="D153" i="33"/>
  <c r="F153" i="33"/>
  <c r="H153" i="33"/>
  <c r="I153" i="33"/>
  <c r="J153" i="33"/>
  <c r="C154" i="33"/>
  <c r="D154" i="33"/>
  <c r="F154" i="33"/>
  <c r="H154" i="33"/>
  <c r="I154" i="33"/>
  <c r="J154" i="33"/>
  <c r="C155" i="33"/>
  <c r="D155" i="33"/>
  <c r="F155" i="33"/>
  <c r="H155" i="33"/>
  <c r="I155" i="33"/>
  <c r="J155" i="33"/>
  <c r="C156" i="33"/>
  <c r="D156" i="33"/>
  <c r="F156" i="33"/>
  <c r="H156" i="33"/>
  <c r="I156" i="33"/>
  <c r="J156" i="33"/>
  <c r="C157" i="33"/>
  <c r="D157" i="33"/>
  <c r="F157" i="33"/>
  <c r="H157" i="33"/>
  <c r="I157" i="33"/>
  <c r="J157" i="33"/>
  <c r="C158" i="33"/>
  <c r="D158" i="33"/>
  <c r="F158" i="33"/>
  <c r="H158" i="33"/>
  <c r="I158" i="33"/>
  <c r="J158" i="33"/>
  <c r="C159" i="33"/>
  <c r="D159" i="33"/>
  <c r="F159" i="33"/>
  <c r="H159" i="33"/>
  <c r="I159" i="33"/>
  <c r="J159" i="33"/>
  <c r="C160" i="33"/>
  <c r="D160" i="33"/>
  <c r="F160" i="33"/>
  <c r="H160" i="33"/>
  <c r="I160" i="33"/>
  <c r="J160" i="33"/>
  <c r="C161" i="33"/>
  <c r="D161" i="33"/>
  <c r="F161" i="33"/>
  <c r="H161" i="33"/>
  <c r="I161" i="33"/>
  <c r="J161" i="33"/>
  <c r="C162" i="33"/>
  <c r="D162" i="33"/>
  <c r="F162" i="33"/>
  <c r="H162" i="33"/>
  <c r="I162" i="33"/>
  <c r="J162" i="33"/>
  <c r="C163" i="33"/>
  <c r="D163" i="33"/>
  <c r="F163" i="33"/>
  <c r="H163" i="33"/>
  <c r="I163" i="33"/>
  <c r="J163" i="33"/>
  <c r="C164" i="33"/>
  <c r="D164" i="33"/>
  <c r="F164" i="33"/>
  <c r="H164" i="33"/>
  <c r="I164" i="33"/>
  <c r="J164" i="33"/>
  <c r="C165" i="33"/>
  <c r="D165" i="33"/>
  <c r="F165" i="33"/>
  <c r="H165" i="33"/>
  <c r="I165" i="33"/>
  <c r="J165" i="33"/>
  <c r="C166" i="33"/>
  <c r="D166" i="33"/>
  <c r="F166" i="33"/>
  <c r="H166" i="33"/>
  <c r="I166" i="33"/>
  <c r="J166" i="33"/>
  <c r="C167" i="33"/>
  <c r="D167" i="33"/>
  <c r="F167" i="33"/>
  <c r="H167" i="33"/>
  <c r="I167" i="33"/>
  <c r="J167" i="33"/>
  <c r="C168" i="33"/>
  <c r="D168" i="33"/>
  <c r="F168" i="33"/>
  <c r="H168" i="33"/>
  <c r="I168" i="33"/>
  <c r="J168" i="33"/>
  <c r="C169" i="33"/>
  <c r="D169" i="33"/>
  <c r="F169" i="33"/>
  <c r="H169" i="33"/>
  <c r="I169" i="33"/>
  <c r="J169" i="33"/>
  <c r="C170" i="33"/>
  <c r="D170" i="33"/>
  <c r="F170" i="33"/>
  <c r="H170" i="33"/>
  <c r="I170" i="33"/>
  <c r="J170" i="33"/>
  <c r="J117" i="33"/>
  <c r="I117" i="33"/>
  <c r="H117" i="33"/>
  <c r="F117" i="33"/>
  <c r="D117" i="33"/>
  <c r="C117" i="33"/>
  <c r="O35" i="34"/>
  <c r="D492" i="33"/>
  <c r="D493" i="33"/>
  <c r="D494" i="33"/>
  <c r="C9" i="39" l="1"/>
  <c r="O51" i="33"/>
  <c r="O70" i="33"/>
  <c r="O32" i="33"/>
  <c r="K169" i="33"/>
  <c r="K167" i="33"/>
  <c r="K165" i="33"/>
  <c r="K163" i="33"/>
  <c r="C612" i="33"/>
  <c r="C613" i="33" s="1"/>
  <c r="O613" i="33" s="1"/>
  <c r="O611" i="33"/>
  <c r="C621" i="33"/>
  <c r="O621" i="33" s="1"/>
  <c r="O620" i="33"/>
  <c r="C628" i="33"/>
  <c r="O627" i="33"/>
  <c r="O56" i="33"/>
  <c r="O75" i="33"/>
  <c r="C602" i="33"/>
  <c r="O601" i="33"/>
  <c r="C595" i="33"/>
  <c r="O594" i="33"/>
  <c r="O583" i="33"/>
  <c r="D585" i="33"/>
  <c r="C586" i="33"/>
  <c r="K161" i="33"/>
  <c r="K159" i="33"/>
  <c r="K157" i="33"/>
  <c r="K155" i="33"/>
  <c r="K151" i="33"/>
  <c r="K149" i="33"/>
  <c r="K147" i="33"/>
  <c r="K145" i="33"/>
  <c r="K143" i="33"/>
  <c r="K141" i="33"/>
  <c r="K139" i="33"/>
  <c r="K137" i="33"/>
  <c r="K135" i="33"/>
  <c r="K133" i="33"/>
  <c r="K131" i="33"/>
  <c r="C181" i="33" s="1"/>
  <c r="K129" i="33"/>
  <c r="K127" i="33"/>
  <c r="K125" i="33"/>
  <c r="K123" i="33"/>
  <c r="K121" i="33"/>
  <c r="K119" i="33"/>
  <c r="K170" i="33"/>
  <c r="K168" i="33"/>
  <c r="K166" i="33"/>
  <c r="K164" i="33"/>
  <c r="K162" i="33"/>
  <c r="K160" i="33"/>
  <c r="K158" i="33"/>
  <c r="K156" i="33"/>
  <c r="K154" i="33"/>
  <c r="K152" i="33"/>
  <c r="K150" i="33"/>
  <c r="K148" i="33"/>
  <c r="K146" i="33"/>
  <c r="K144" i="33"/>
  <c r="C175" i="33" s="1"/>
  <c r="K142" i="33"/>
  <c r="K140" i="33"/>
  <c r="K138" i="33"/>
  <c r="K136" i="33"/>
  <c r="K134" i="33"/>
  <c r="K132" i="33"/>
  <c r="K130" i="33"/>
  <c r="K128" i="33"/>
  <c r="K126" i="33"/>
  <c r="K124" i="33"/>
  <c r="K122" i="33"/>
  <c r="K120" i="33"/>
  <c r="K118" i="33"/>
  <c r="K153" i="33"/>
  <c r="C184" i="33"/>
  <c r="C210" i="33" s="1"/>
  <c r="C182" i="33"/>
  <c r="K117" i="33"/>
  <c r="C171" i="33"/>
  <c r="C179" i="33"/>
  <c r="C178" i="33"/>
  <c r="C176" i="33"/>
  <c r="C180" i="33"/>
  <c r="C185" i="33"/>
  <c r="D210" i="33" s="1"/>
  <c r="C177" i="33"/>
  <c r="C183" i="33"/>
  <c r="O81" i="32"/>
  <c r="O82" i="32"/>
  <c r="O83" i="32"/>
  <c r="O47" i="32"/>
  <c r="O48" i="32"/>
  <c r="O64" i="32"/>
  <c r="O65" i="32"/>
  <c r="B39" i="7" l="1"/>
  <c r="C629" i="33"/>
  <c r="O628" i="33"/>
  <c r="O612" i="33"/>
  <c r="O595" i="33"/>
  <c r="B54" i="7"/>
  <c r="D586" i="33"/>
  <c r="D587" i="33" s="1"/>
  <c r="C26" i="7" s="1"/>
  <c r="D37" i="33"/>
  <c r="O37" i="33" s="1"/>
  <c r="C603" i="33"/>
  <c r="O602" i="33"/>
  <c r="O585" i="33"/>
  <c r="O586" i="33"/>
  <c r="C587" i="33"/>
  <c r="P197" i="33"/>
  <c r="P194" i="33"/>
  <c r="N192" i="33"/>
  <c r="K171" i="33"/>
  <c r="C174" i="33"/>
  <c r="C186" i="33" s="1"/>
  <c r="O629" i="33" l="1"/>
  <c r="B68" i="7"/>
  <c r="B11" i="7"/>
  <c r="O587" i="33"/>
  <c r="B26" i="7"/>
  <c r="O603" i="33"/>
  <c r="B83" i="7"/>
  <c r="H520" i="33"/>
  <c r="B14" i="7" s="1"/>
  <c r="B559" i="33"/>
  <c r="B558" i="33"/>
  <c r="B557" i="33"/>
  <c r="B556" i="33"/>
  <c r="B555" i="33"/>
  <c r="B552" i="33"/>
  <c r="B551" i="33"/>
  <c r="B550" i="33"/>
  <c r="B549" i="33"/>
  <c r="B548" i="33"/>
  <c r="B547" i="33"/>
  <c r="B546" i="33"/>
  <c r="B545" i="33"/>
  <c r="B544" i="33"/>
  <c r="B543" i="33"/>
  <c r="B542" i="33"/>
  <c r="B541" i="33"/>
  <c r="B540" i="33"/>
  <c r="B539" i="33"/>
  <c r="B538" i="33"/>
  <c r="B537" i="33"/>
  <c r="B536" i="33"/>
  <c r="B535" i="33"/>
  <c r="B534" i="33"/>
  <c r="B533" i="33"/>
  <c r="B532" i="33"/>
  <c r="B529" i="33"/>
  <c r="B528" i="33"/>
  <c r="B527" i="33"/>
  <c r="B526" i="33"/>
  <c r="B525" i="33"/>
  <c r="B524" i="33"/>
  <c r="B523" i="33"/>
  <c r="B522" i="33"/>
  <c r="B521" i="33"/>
  <c r="B520" i="33"/>
  <c r="R491" i="33"/>
  <c r="R492" i="33"/>
  <c r="R493" i="33"/>
  <c r="R494" i="33"/>
  <c r="R495" i="33"/>
  <c r="E512" i="33" s="1"/>
  <c r="R490" i="33"/>
  <c r="M491" i="33"/>
  <c r="M492" i="33"/>
  <c r="M493" i="33"/>
  <c r="M494" i="33"/>
  <c r="M495" i="33"/>
  <c r="M490" i="33"/>
  <c r="I491" i="33"/>
  <c r="I492" i="33"/>
  <c r="I493" i="33"/>
  <c r="I494" i="33"/>
  <c r="I495" i="33"/>
  <c r="C512" i="33" s="1"/>
  <c r="I490" i="33"/>
  <c r="J495" i="33"/>
  <c r="C514" i="33" s="1"/>
  <c r="N492" i="33" l="1"/>
  <c r="O492" i="33" s="1"/>
  <c r="C513" i="33"/>
  <c r="N495" i="33"/>
  <c r="O495" i="33" s="1"/>
  <c r="D514" i="33" s="1"/>
  <c r="N494" i="33"/>
  <c r="S494" i="33" s="1"/>
  <c r="T494" i="33" s="1"/>
  <c r="N491" i="33"/>
  <c r="O491" i="33" s="1"/>
  <c r="N493" i="33"/>
  <c r="D512" i="33"/>
  <c r="N490" i="33"/>
  <c r="O490" i="33" s="1"/>
  <c r="S492" i="33" l="1"/>
  <c r="T492" i="33" s="1"/>
  <c r="S491" i="33"/>
  <c r="T491" i="33" s="1"/>
  <c r="S495" i="33"/>
  <c r="E513" i="33" s="1"/>
  <c r="S490" i="33"/>
  <c r="T490" i="33" s="1"/>
  <c r="O494" i="33"/>
  <c r="D513" i="33"/>
  <c r="O493" i="33"/>
  <c r="S493" i="33"/>
  <c r="T493" i="33" s="1"/>
  <c r="C491" i="33"/>
  <c r="E491" i="33"/>
  <c r="J492" i="33"/>
  <c r="E492" i="33"/>
  <c r="J493" i="33"/>
  <c r="E493" i="33"/>
  <c r="J494" i="33"/>
  <c r="E494" i="33"/>
  <c r="E490" i="33"/>
  <c r="C490" i="33"/>
  <c r="C555" i="33" s="1"/>
  <c r="F468" i="33"/>
  <c r="F469" i="33"/>
  <c r="F470" i="33"/>
  <c r="F471" i="33"/>
  <c r="F472" i="33"/>
  <c r="F473" i="33"/>
  <c r="F474" i="33"/>
  <c r="F475" i="33"/>
  <c r="F476" i="33"/>
  <c r="F477" i="33"/>
  <c r="F478" i="33"/>
  <c r="F479" i="33"/>
  <c r="F480" i="33"/>
  <c r="F481" i="33"/>
  <c r="F482" i="33"/>
  <c r="F483" i="33"/>
  <c r="F484" i="33"/>
  <c r="F485" i="33"/>
  <c r="F486" i="33"/>
  <c r="F487" i="33"/>
  <c r="F467" i="33"/>
  <c r="F456" i="33"/>
  <c r="F457" i="33"/>
  <c r="F458" i="33"/>
  <c r="F459" i="33"/>
  <c r="F460" i="33"/>
  <c r="F461" i="33"/>
  <c r="F462" i="33"/>
  <c r="F463" i="33"/>
  <c r="F464" i="33"/>
  <c r="F455" i="33"/>
  <c r="C468" i="33"/>
  <c r="D468" i="33"/>
  <c r="E468" i="33"/>
  <c r="C469" i="33"/>
  <c r="D469" i="33"/>
  <c r="E469" i="33"/>
  <c r="C470" i="33"/>
  <c r="D470" i="33"/>
  <c r="E470" i="33"/>
  <c r="C471" i="33"/>
  <c r="D471" i="33"/>
  <c r="E471" i="33"/>
  <c r="C472" i="33"/>
  <c r="D472" i="33"/>
  <c r="E472" i="33"/>
  <c r="C473" i="33"/>
  <c r="D473" i="33"/>
  <c r="E473" i="33"/>
  <c r="C474" i="33"/>
  <c r="D474" i="33"/>
  <c r="E474" i="33"/>
  <c r="C475" i="33"/>
  <c r="D475" i="33"/>
  <c r="E475" i="33"/>
  <c r="C476" i="33"/>
  <c r="D476" i="33"/>
  <c r="E476" i="33"/>
  <c r="C477" i="33"/>
  <c r="D477" i="33"/>
  <c r="E477" i="33"/>
  <c r="C478" i="33"/>
  <c r="D478" i="33"/>
  <c r="E478" i="33"/>
  <c r="C479" i="33"/>
  <c r="D479" i="33"/>
  <c r="E479" i="33"/>
  <c r="C480" i="33"/>
  <c r="D480" i="33"/>
  <c r="E480" i="33"/>
  <c r="C481" i="33"/>
  <c r="D481" i="33"/>
  <c r="E481" i="33"/>
  <c r="C482" i="33"/>
  <c r="D482" i="33"/>
  <c r="E482" i="33"/>
  <c r="C483" i="33"/>
  <c r="D483" i="33"/>
  <c r="E483" i="33"/>
  <c r="C484" i="33"/>
  <c r="D484" i="33"/>
  <c r="E484" i="33"/>
  <c r="C485" i="33"/>
  <c r="D485" i="33"/>
  <c r="E485" i="33"/>
  <c r="C486" i="33"/>
  <c r="D486" i="33"/>
  <c r="E486" i="33"/>
  <c r="C487" i="33"/>
  <c r="D487" i="33"/>
  <c r="E487" i="33"/>
  <c r="E467" i="33"/>
  <c r="D467" i="33"/>
  <c r="C467" i="33"/>
  <c r="E455" i="33"/>
  <c r="E456" i="33"/>
  <c r="E457" i="33"/>
  <c r="E458" i="33"/>
  <c r="E459" i="33"/>
  <c r="E460" i="33"/>
  <c r="E461" i="33"/>
  <c r="E462" i="33"/>
  <c r="E463" i="33"/>
  <c r="E464" i="33"/>
  <c r="D456" i="33"/>
  <c r="J456" i="33" s="1"/>
  <c r="D457" i="33"/>
  <c r="D458" i="33"/>
  <c r="J458" i="33" s="1"/>
  <c r="D459" i="33"/>
  <c r="D460" i="33"/>
  <c r="D461" i="33"/>
  <c r="D462" i="33"/>
  <c r="D463" i="33"/>
  <c r="H463" i="33" s="1"/>
  <c r="D464" i="33"/>
  <c r="D455" i="33"/>
  <c r="C456" i="33"/>
  <c r="C521" i="33" s="1"/>
  <c r="D521" i="33" s="1"/>
  <c r="E521" i="33" s="1"/>
  <c r="C457" i="33"/>
  <c r="C522" i="33" s="1"/>
  <c r="D522" i="33" s="1"/>
  <c r="E522" i="33" s="1"/>
  <c r="C458" i="33"/>
  <c r="C459" i="33"/>
  <c r="C460" i="33"/>
  <c r="C461" i="33"/>
  <c r="C462" i="33"/>
  <c r="C463" i="33"/>
  <c r="C464" i="33"/>
  <c r="C455" i="33"/>
  <c r="B468" i="33"/>
  <c r="B469" i="33"/>
  <c r="B470" i="33"/>
  <c r="B471" i="33"/>
  <c r="B472" i="33"/>
  <c r="B473" i="33"/>
  <c r="B474" i="33"/>
  <c r="B475" i="33"/>
  <c r="B476" i="33"/>
  <c r="B477" i="33"/>
  <c r="B478" i="33"/>
  <c r="B479" i="33"/>
  <c r="B480" i="33"/>
  <c r="B481" i="33"/>
  <c r="B482" i="33"/>
  <c r="B483" i="33"/>
  <c r="B484" i="33"/>
  <c r="B485" i="33"/>
  <c r="B486" i="33"/>
  <c r="B487" i="33"/>
  <c r="B467" i="33"/>
  <c r="B456" i="33"/>
  <c r="B457" i="33"/>
  <c r="B458" i="33"/>
  <c r="B459" i="33"/>
  <c r="B460" i="33"/>
  <c r="B461" i="33"/>
  <c r="B462" i="33"/>
  <c r="B463" i="33"/>
  <c r="B464" i="33"/>
  <c r="B455" i="33"/>
  <c r="B490" i="33"/>
  <c r="B491" i="33"/>
  <c r="B492" i="33"/>
  <c r="C557" i="33"/>
  <c r="D557" i="33" s="1"/>
  <c r="E557" i="33" s="1"/>
  <c r="B493" i="33"/>
  <c r="C558" i="33"/>
  <c r="D558" i="33" s="1"/>
  <c r="E558" i="33" s="1"/>
  <c r="B494" i="33"/>
  <c r="C559" i="33"/>
  <c r="D559" i="33" s="1"/>
  <c r="E559" i="33" s="1"/>
  <c r="T495" i="33" l="1"/>
  <c r="E514" i="33" s="1"/>
  <c r="C7" i="39"/>
  <c r="C488" i="33"/>
  <c r="C8" i="39"/>
  <c r="P529" i="33"/>
  <c r="K74" i="33" s="1"/>
  <c r="L529" i="33"/>
  <c r="G74" i="33" s="1"/>
  <c r="H529" i="33"/>
  <c r="C74" i="33" s="1"/>
  <c r="P525" i="33"/>
  <c r="K55" i="33" s="1"/>
  <c r="L525" i="33"/>
  <c r="G55" i="33" s="1"/>
  <c r="H525" i="33"/>
  <c r="C55" i="33" s="1"/>
  <c r="Q521" i="33"/>
  <c r="L36" i="33" s="1"/>
  <c r="M521" i="33"/>
  <c r="H36" i="33" s="1"/>
  <c r="O529" i="33"/>
  <c r="J74" i="33" s="1"/>
  <c r="O525" i="33"/>
  <c r="J55" i="33" s="1"/>
  <c r="L521" i="33"/>
  <c r="G36" i="33" s="1"/>
  <c r="P521" i="33"/>
  <c r="K36" i="33" s="1"/>
  <c r="J525" i="33"/>
  <c r="E55" i="33" s="1"/>
  <c r="M529" i="33"/>
  <c r="H74" i="33" s="1"/>
  <c r="Q525" i="33"/>
  <c r="L55" i="33" s="1"/>
  <c r="I525" i="33"/>
  <c r="D55" i="33" s="1"/>
  <c r="R521" i="33"/>
  <c r="M36" i="33" s="1"/>
  <c r="S529" i="33"/>
  <c r="N74" i="33" s="1"/>
  <c r="S525" i="33"/>
  <c r="N55" i="33" s="1"/>
  <c r="K525" i="33"/>
  <c r="F55" i="33" s="1"/>
  <c r="K521" i="33"/>
  <c r="F36" i="33" s="1"/>
  <c r="Q529" i="33"/>
  <c r="L74" i="33" s="1"/>
  <c r="I529" i="33"/>
  <c r="D74" i="33" s="1"/>
  <c r="M525" i="33"/>
  <c r="H55" i="33" s="1"/>
  <c r="J521" i="33"/>
  <c r="E36" i="33" s="1"/>
  <c r="N521" i="33"/>
  <c r="I36" i="33" s="1"/>
  <c r="R529" i="33"/>
  <c r="M74" i="33" s="1"/>
  <c r="N529" i="33"/>
  <c r="I74" i="33" s="1"/>
  <c r="J529" i="33"/>
  <c r="E74" i="33" s="1"/>
  <c r="R525" i="33"/>
  <c r="M55" i="33" s="1"/>
  <c r="N525" i="33"/>
  <c r="I55" i="33" s="1"/>
  <c r="G463" i="33"/>
  <c r="I463" i="33" s="1"/>
  <c r="C528" i="33"/>
  <c r="D528" i="33" s="1"/>
  <c r="E528" i="33" s="1"/>
  <c r="G459" i="33"/>
  <c r="C524" i="33"/>
  <c r="D524" i="33" s="1"/>
  <c r="E524" i="33" s="1"/>
  <c r="G486" i="33"/>
  <c r="C551" i="33"/>
  <c r="D551" i="33" s="1"/>
  <c r="E551" i="33" s="1"/>
  <c r="G482" i="33"/>
  <c r="C547" i="33"/>
  <c r="D547" i="33" s="1"/>
  <c r="E547" i="33" s="1"/>
  <c r="G478" i="33"/>
  <c r="C543" i="33"/>
  <c r="D543" i="33" s="1"/>
  <c r="E543" i="33" s="1"/>
  <c r="G474" i="33"/>
  <c r="C539" i="33"/>
  <c r="D539" i="33" s="1"/>
  <c r="E539" i="33" s="1"/>
  <c r="G470" i="33"/>
  <c r="C535" i="33"/>
  <c r="D535" i="33" s="1"/>
  <c r="E535" i="33" s="1"/>
  <c r="G462" i="33"/>
  <c r="C527" i="33"/>
  <c r="D527" i="33" s="1"/>
  <c r="E527" i="33" s="1"/>
  <c r="G458" i="33"/>
  <c r="C523" i="33"/>
  <c r="D523" i="33" s="1"/>
  <c r="E523" i="33" s="1"/>
  <c r="G487" i="33"/>
  <c r="C552" i="33"/>
  <c r="D552" i="33" s="1"/>
  <c r="E552" i="33" s="1"/>
  <c r="G483" i="33"/>
  <c r="C548" i="33"/>
  <c r="D548" i="33" s="1"/>
  <c r="E548" i="33" s="1"/>
  <c r="G479" i="33"/>
  <c r="C544" i="33"/>
  <c r="D544" i="33" s="1"/>
  <c r="E544" i="33" s="1"/>
  <c r="G475" i="33"/>
  <c r="C540" i="33"/>
  <c r="D540" i="33" s="1"/>
  <c r="E540" i="33" s="1"/>
  <c r="G471" i="33"/>
  <c r="C536" i="33"/>
  <c r="G461" i="33"/>
  <c r="C526" i="33"/>
  <c r="D526" i="33" s="1"/>
  <c r="E526" i="33" s="1"/>
  <c r="M527" i="33"/>
  <c r="N528" i="33" s="1"/>
  <c r="G484" i="33"/>
  <c r="C549" i="33"/>
  <c r="D549" i="33" s="1"/>
  <c r="E549" i="33" s="1"/>
  <c r="G480" i="33"/>
  <c r="C545" i="33"/>
  <c r="D545" i="33" s="1"/>
  <c r="E545" i="33" s="1"/>
  <c r="G476" i="33"/>
  <c r="C541" i="33"/>
  <c r="D541" i="33" s="1"/>
  <c r="E541" i="33" s="1"/>
  <c r="G472" i="33"/>
  <c r="C537" i="33"/>
  <c r="D537" i="33" s="1"/>
  <c r="E537" i="33" s="1"/>
  <c r="G464" i="33"/>
  <c r="C529" i="33"/>
  <c r="D529" i="33" s="1"/>
  <c r="E529" i="33" s="1"/>
  <c r="G460" i="33"/>
  <c r="C525" i="33"/>
  <c r="D525" i="33" s="1"/>
  <c r="E525" i="33" s="1"/>
  <c r="H521" i="33" s="1"/>
  <c r="C36" i="33" s="1"/>
  <c r="G485" i="33"/>
  <c r="C550" i="33"/>
  <c r="D550" i="33" s="1"/>
  <c r="E550" i="33" s="1"/>
  <c r="G481" i="33"/>
  <c r="C546" i="33"/>
  <c r="D546" i="33" s="1"/>
  <c r="E546" i="33" s="1"/>
  <c r="G477" i="33"/>
  <c r="C542" i="33"/>
  <c r="D542" i="33" s="1"/>
  <c r="E542" i="33" s="1"/>
  <c r="G473" i="33"/>
  <c r="C538" i="33"/>
  <c r="D538" i="33" s="1"/>
  <c r="E538" i="33" s="1"/>
  <c r="G469" i="33"/>
  <c r="C534" i="33"/>
  <c r="D534" i="33" s="1"/>
  <c r="E534" i="33" s="1"/>
  <c r="J491" i="33"/>
  <c r="C556" i="33"/>
  <c r="D556" i="33" s="1"/>
  <c r="E556" i="33" s="1"/>
  <c r="D555" i="33"/>
  <c r="I523" i="33"/>
  <c r="J524" i="33" s="1"/>
  <c r="G468" i="33"/>
  <c r="C533" i="33"/>
  <c r="D533" i="33" s="1"/>
  <c r="E533" i="33" s="1"/>
  <c r="K529" i="33" s="1"/>
  <c r="F74" i="33" s="1"/>
  <c r="G467" i="33"/>
  <c r="C532" i="33"/>
  <c r="D532" i="33" s="1"/>
  <c r="P527" i="33"/>
  <c r="Q528" i="33" s="1"/>
  <c r="K71" i="7" s="1"/>
  <c r="K527" i="33"/>
  <c r="L528" i="33" s="1"/>
  <c r="F71" i="7" s="1"/>
  <c r="S523" i="33"/>
  <c r="O523" i="33"/>
  <c r="P524" i="33" s="1"/>
  <c r="J42" i="7" s="1"/>
  <c r="K523" i="33"/>
  <c r="L524" i="33" s="1"/>
  <c r="F42" i="7" s="1"/>
  <c r="Q527" i="33"/>
  <c r="R528" i="33" s="1"/>
  <c r="L71" i="7" s="1"/>
  <c r="P523" i="33"/>
  <c r="Q524" i="33" s="1"/>
  <c r="K42" i="7" s="1"/>
  <c r="S527" i="33"/>
  <c r="U528" i="33" s="1"/>
  <c r="E32" i="25" s="1"/>
  <c r="O527" i="33"/>
  <c r="P528" i="33" s="1"/>
  <c r="J71" i="7" s="1"/>
  <c r="J527" i="33"/>
  <c r="R523" i="33"/>
  <c r="S524" i="33" s="1"/>
  <c r="M42" i="7" s="1"/>
  <c r="N523" i="33"/>
  <c r="O524" i="33" s="1"/>
  <c r="I42" i="7" s="1"/>
  <c r="J523" i="33"/>
  <c r="K524" i="33" s="1"/>
  <c r="E42" i="7" s="1"/>
  <c r="H527" i="33"/>
  <c r="L523" i="33"/>
  <c r="M524" i="33" s="1"/>
  <c r="G42" i="7" s="1"/>
  <c r="R527" i="33"/>
  <c r="S528" i="33" s="1"/>
  <c r="M71" i="7" s="1"/>
  <c r="N527" i="33"/>
  <c r="O528" i="33" s="1"/>
  <c r="I71" i="7" s="1"/>
  <c r="I527" i="33"/>
  <c r="Q523" i="33"/>
  <c r="R524" i="33" s="1"/>
  <c r="L42" i="7" s="1"/>
  <c r="M523" i="33"/>
  <c r="N524" i="33" s="1"/>
  <c r="H42" i="7" s="1"/>
  <c r="H523" i="33"/>
  <c r="L527" i="33"/>
  <c r="M528" i="33" s="1"/>
  <c r="G71" i="7" s="1"/>
  <c r="G455" i="33"/>
  <c r="C520" i="33"/>
  <c r="K519" i="33"/>
  <c r="L520" i="33" s="1"/>
  <c r="F14" i="7" s="1"/>
  <c r="P519" i="33"/>
  <c r="Q520" i="33" s="1"/>
  <c r="K14" i="7" s="1"/>
  <c r="R519" i="33"/>
  <c r="S520" i="33" s="1"/>
  <c r="M14" i="7" s="1"/>
  <c r="N519" i="33"/>
  <c r="O520" i="33" s="1"/>
  <c r="I14" i="7" s="1"/>
  <c r="J519" i="33"/>
  <c r="K520" i="33" s="1"/>
  <c r="E14" i="7" s="1"/>
  <c r="L519" i="33"/>
  <c r="M520" i="33" s="1"/>
  <c r="G14" i="7" s="1"/>
  <c r="Q519" i="33"/>
  <c r="R520" i="33" s="1"/>
  <c r="L14" i="7" s="1"/>
  <c r="M519" i="33"/>
  <c r="N520" i="33" s="1"/>
  <c r="H14" i="7" s="1"/>
  <c r="C501" i="33"/>
  <c r="B5" i="25" s="1"/>
  <c r="C506" i="33"/>
  <c r="J490" i="33"/>
  <c r="C511" i="33"/>
  <c r="G456" i="33"/>
  <c r="L459" i="33"/>
  <c r="M459" i="33" s="1"/>
  <c r="P459" i="33"/>
  <c r="Q459" i="33"/>
  <c r="K459" i="33"/>
  <c r="P485" i="33"/>
  <c r="J485" i="33"/>
  <c r="Q485" i="33"/>
  <c r="L485" i="33"/>
  <c r="M485" i="33" s="1"/>
  <c r="H485" i="33"/>
  <c r="K485" i="33"/>
  <c r="P477" i="33"/>
  <c r="J477" i="33"/>
  <c r="L477" i="33"/>
  <c r="M477" i="33" s="1"/>
  <c r="H477" i="33"/>
  <c r="Q477" i="33"/>
  <c r="K477" i="33"/>
  <c r="K469" i="33"/>
  <c r="L469" i="33" s="1"/>
  <c r="M469" i="33" s="1"/>
  <c r="H469" i="33"/>
  <c r="H459" i="33"/>
  <c r="J459" i="33"/>
  <c r="P462" i="33"/>
  <c r="Q462" i="33"/>
  <c r="K462" i="33"/>
  <c r="L462" i="33"/>
  <c r="M462" i="33" s="1"/>
  <c r="Q486" i="33"/>
  <c r="K486" i="33"/>
  <c r="H486" i="33"/>
  <c r="I486" i="33" s="1"/>
  <c r="L486" i="33"/>
  <c r="M486" i="33" s="1"/>
  <c r="J486" i="33"/>
  <c r="P486" i="33"/>
  <c r="K474" i="33"/>
  <c r="H474" i="33"/>
  <c r="P474" i="33"/>
  <c r="L474" i="33"/>
  <c r="M474" i="33" s="1"/>
  <c r="J474" i="33"/>
  <c r="Q474" i="33"/>
  <c r="H462" i="33"/>
  <c r="H458" i="33"/>
  <c r="J462" i="33"/>
  <c r="H455" i="33"/>
  <c r="Q461" i="33"/>
  <c r="K461" i="33"/>
  <c r="L461" i="33"/>
  <c r="M461" i="33" s="1"/>
  <c r="P461" i="33"/>
  <c r="Q457" i="33"/>
  <c r="K457" i="33"/>
  <c r="L457" i="33"/>
  <c r="M457" i="33" s="1"/>
  <c r="P457" i="33"/>
  <c r="L487" i="33"/>
  <c r="M487" i="33" s="1"/>
  <c r="P487" i="33"/>
  <c r="H487" i="33"/>
  <c r="Q487" i="33"/>
  <c r="K487" i="33"/>
  <c r="J487" i="33"/>
  <c r="Q483" i="33"/>
  <c r="R483" i="33" s="1"/>
  <c r="H483" i="33"/>
  <c r="K483" i="33"/>
  <c r="J483" i="33"/>
  <c r="P483" i="33"/>
  <c r="L483" i="33"/>
  <c r="M483" i="33" s="1"/>
  <c r="P479" i="33"/>
  <c r="H479" i="33"/>
  <c r="L479" i="33"/>
  <c r="M479" i="33" s="1"/>
  <c r="Q479" i="33"/>
  <c r="K479" i="33"/>
  <c r="J479" i="33"/>
  <c r="Q475" i="33"/>
  <c r="R475" i="33" s="1"/>
  <c r="H475" i="33"/>
  <c r="P475" i="33"/>
  <c r="K475" i="33"/>
  <c r="J475" i="33"/>
  <c r="L475" i="33"/>
  <c r="M475" i="33" s="1"/>
  <c r="P471" i="33"/>
  <c r="H471" i="33"/>
  <c r="Q471" i="33"/>
  <c r="K471" i="33"/>
  <c r="J471" i="33"/>
  <c r="L471" i="33"/>
  <c r="M471" i="33" s="1"/>
  <c r="H461" i="33"/>
  <c r="I461" i="33" s="1"/>
  <c r="H456" i="33"/>
  <c r="J461" i="33"/>
  <c r="L463" i="33"/>
  <c r="M463" i="33" s="1"/>
  <c r="P463" i="33"/>
  <c r="Q463" i="33"/>
  <c r="K463" i="33"/>
  <c r="J481" i="33"/>
  <c r="Q481" i="33"/>
  <c r="P481" i="33"/>
  <c r="K481" i="33"/>
  <c r="L481" i="33"/>
  <c r="M481" i="33" s="1"/>
  <c r="H481" i="33"/>
  <c r="J473" i="33"/>
  <c r="L473" i="33"/>
  <c r="M473" i="33" s="1"/>
  <c r="H473" i="33"/>
  <c r="P473" i="33"/>
  <c r="K473" i="33"/>
  <c r="Q473" i="33"/>
  <c r="J463" i="33"/>
  <c r="P458" i="33"/>
  <c r="Q458" i="33"/>
  <c r="K458" i="33"/>
  <c r="L458" i="33"/>
  <c r="M458" i="33" s="1"/>
  <c r="K482" i="33"/>
  <c r="H482" i="33"/>
  <c r="P482" i="33"/>
  <c r="L482" i="33"/>
  <c r="M482" i="33" s="1"/>
  <c r="J482" i="33"/>
  <c r="Q482" i="33"/>
  <c r="Q478" i="33"/>
  <c r="K478" i="33"/>
  <c r="H478" i="33"/>
  <c r="I478" i="33" s="1"/>
  <c r="L478" i="33"/>
  <c r="M478" i="33" s="1"/>
  <c r="J478" i="33"/>
  <c r="P478" i="33"/>
  <c r="H470" i="33"/>
  <c r="K470" i="33" s="1"/>
  <c r="L470" i="33" s="1"/>
  <c r="L464" i="33"/>
  <c r="M464" i="33" s="1"/>
  <c r="P464" i="33"/>
  <c r="K464" i="33"/>
  <c r="Q464" i="33"/>
  <c r="L456" i="33"/>
  <c r="K456" i="33"/>
  <c r="H467" i="33"/>
  <c r="K484" i="33"/>
  <c r="J484" i="33"/>
  <c r="L484" i="33"/>
  <c r="M484" i="33" s="1"/>
  <c r="Q484" i="33"/>
  <c r="P484" i="33"/>
  <c r="H484" i="33"/>
  <c r="P480" i="33"/>
  <c r="K480" i="33"/>
  <c r="Q480" i="33"/>
  <c r="L480" i="33"/>
  <c r="M480" i="33" s="1"/>
  <c r="H480" i="33"/>
  <c r="J480" i="33"/>
  <c r="K476" i="33"/>
  <c r="L476" i="33"/>
  <c r="M476" i="33" s="1"/>
  <c r="J476" i="33"/>
  <c r="P476" i="33"/>
  <c r="H476" i="33"/>
  <c r="Q476" i="33"/>
  <c r="K472" i="33"/>
  <c r="J472" i="33"/>
  <c r="L472" i="33"/>
  <c r="M472" i="33" s="1"/>
  <c r="H472" i="33"/>
  <c r="K468" i="33"/>
  <c r="L468" i="33"/>
  <c r="M468" i="33" s="1"/>
  <c r="P468" i="33"/>
  <c r="H468" i="33"/>
  <c r="Q468" i="33"/>
  <c r="J468" i="33"/>
  <c r="H464" i="33"/>
  <c r="H460" i="33"/>
  <c r="K460" i="33" s="1"/>
  <c r="L460" i="33" s="1"/>
  <c r="M460" i="33" s="1"/>
  <c r="J464" i="33"/>
  <c r="G457" i="33"/>
  <c r="H457" i="33"/>
  <c r="J457" i="33"/>
  <c r="C465" i="33"/>
  <c r="C495" i="33"/>
  <c r="F38" i="25"/>
  <c r="D38" i="25"/>
  <c r="D26" i="25"/>
  <c r="D17" i="25"/>
  <c r="C425" i="33"/>
  <c r="B20" i="7" s="1"/>
  <c r="C368" i="33"/>
  <c r="D354" i="33"/>
  <c r="D352" i="33"/>
  <c r="C12" i="39" l="1"/>
  <c r="C14" i="39" s="1"/>
  <c r="H519" i="33"/>
  <c r="I520" i="33" s="1"/>
  <c r="P460" i="33"/>
  <c r="Q460" i="33" s="1"/>
  <c r="R460" i="33" s="1"/>
  <c r="P472" i="33"/>
  <c r="Q472" i="33" s="1"/>
  <c r="R472" i="33" s="1"/>
  <c r="D360" i="33"/>
  <c r="G359" i="33"/>
  <c r="K359" i="33"/>
  <c r="C359" i="33"/>
  <c r="J360" i="33"/>
  <c r="I359" i="33"/>
  <c r="M359" i="33"/>
  <c r="G360" i="33"/>
  <c r="G361" i="33" s="1"/>
  <c r="J359" i="33"/>
  <c r="M360" i="33"/>
  <c r="D359" i="33"/>
  <c r="H359" i="33"/>
  <c r="L359" i="33"/>
  <c r="E359" i="33"/>
  <c r="F359" i="33"/>
  <c r="N359" i="33"/>
  <c r="I521" i="33"/>
  <c r="D36" i="33" s="1"/>
  <c r="M470" i="33"/>
  <c r="P470" i="33"/>
  <c r="Q470" i="33" s="1"/>
  <c r="R470" i="33" s="1"/>
  <c r="P469" i="33"/>
  <c r="Q469" i="33" s="1"/>
  <c r="R469" i="33" s="1"/>
  <c r="R479" i="33"/>
  <c r="R487" i="33"/>
  <c r="R474" i="33"/>
  <c r="I474" i="33"/>
  <c r="N474" i="33" s="1"/>
  <c r="O474" i="33" s="1"/>
  <c r="R471" i="33"/>
  <c r="I487" i="33"/>
  <c r="I459" i="33"/>
  <c r="N459" i="33" s="1"/>
  <c r="R459" i="33"/>
  <c r="I460" i="33"/>
  <c r="I472" i="33"/>
  <c r="N472" i="33" s="1"/>
  <c r="O472" i="33" s="1"/>
  <c r="R484" i="33"/>
  <c r="I468" i="33"/>
  <c r="N468" i="33" s="1"/>
  <c r="O468" i="33" s="1"/>
  <c r="O74" i="33"/>
  <c r="O55" i="33"/>
  <c r="R463" i="33"/>
  <c r="I475" i="33"/>
  <c r="N475" i="33" s="1"/>
  <c r="I483" i="33"/>
  <c r="N483" i="33" s="1"/>
  <c r="I480" i="33"/>
  <c r="N480" i="33" s="1"/>
  <c r="O480" i="33" s="1"/>
  <c r="R481" i="33"/>
  <c r="O519" i="33"/>
  <c r="P520" i="33" s="1"/>
  <c r="J14" i="7" s="1"/>
  <c r="E532" i="33"/>
  <c r="O521" i="33" s="1"/>
  <c r="J36" i="33" s="1"/>
  <c r="T529" i="33"/>
  <c r="I470" i="33"/>
  <c r="R478" i="33"/>
  <c r="I473" i="33"/>
  <c r="N473" i="33" s="1"/>
  <c r="O473" i="33" s="1"/>
  <c r="I458" i="33"/>
  <c r="N458" i="33" s="1"/>
  <c r="D560" i="33"/>
  <c r="E555" i="33"/>
  <c r="E560" i="33" s="1"/>
  <c r="I519" i="33"/>
  <c r="J520" i="33" s="1"/>
  <c r="D14" i="7" s="1"/>
  <c r="T525" i="33"/>
  <c r="I481" i="33"/>
  <c r="N481" i="33" s="1"/>
  <c r="O481" i="33" s="1"/>
  <c r="R458" i="33"/>
  <c r="R461" i="33"/>
  <c r="R486" i="33"/>
  <c r="U524" i="33"/>
  <c r="C32" i="25" s="1"/>
  <c r="F32" i="25" s="1"/>
  <c r="H528" i="33"/>
  <c r="B71" i="7" s="1"/>
  <c r="I455" i="33"/>
  <c r="J455" i="33" s="1"/>
  <c r="J528" i="33"/>
  <c r="D71" i="7" s="1"/>
  <c r="I528" i="33"/>
  <c r="C71" i="7" s="1"/>
  <c r="K528" i="33"/>
  <c r="E71" i="7" s="1"/>
  <c r="I524" i="33"/>
  <c r="C42" i="7" s="1"/>
  <c r="C553" i="33"/>
  <c r="D536" i="33"/>
  <c r="I464" i="33"/>
  <c r="N464" i="33" s="1"/>
  <c r="R477" i="33"/>
  <c r="R485" i="33"/>
  <c r="R476" i="33"/>
  <c r="I484" i="33"/>
  <c r="N484" i="33" s="1"/>
  <c r="O484" i="33" s="1"/>
  <c r="I471" i="33"/>
  <c r="N471" i="33" s="1"/>
  <c r="O471" i="33" s="1"/>
  <c r="I479" i="33"/>
  <c r="R462" i="33"/>
  <c r="I469" i="33"/>
  <c r="I477" i="33"/>
  <c r="N477" i="33" s="1"/>
  <c r="O477" i="33" s="1"/>
  <c r="I476" i="33"/>
  <c r="N476" i="33" s="1"/>
  <c r="O476" i="33" s="1"/>
  <c r="R480" i="33"/>
  <c r="R464" i="33"/>
  <c r="N478" i="33"/>
  <c r="O478" i="33" s="1"/>
  <c r="R482" i="33"/>
  <c r="I482" i="33"/>
  <c r="N482" i="33" s="1"/>
  <c r="O482" i="33" s="1"/>
  <c r="R473" i="33"/>
  <c r="I462" i="33"/>
  <c r="N462" i="33" s="1"/>
  <c r="I485" i="33"/>
  <c r="N485" i="33" s="1"/>
  <c r="O485" i="33" s="1"/>
  <c r="C560" i="33"/>
  <c r="I457" i="33"/>
  <c r="N457" i="33" s="1"/>
  <c r="I467" i="33"/>
  <c r="J467" i="33" s="1"/>
  <c r="R468" i="33"/>
  <c r="K467" i="33"/>
  <c r="T523" i="33"/>
  <c r="T527" i="33"/>
  <c r="H71" i="7"/>
  <c r="M456" i="33"/>
  <c r="D42" i="7"/>
  <c r="D520" i="33"/>
  <c r="E520" i="33" s="1"/>
  <c r="C530" i="33"/>
  <c r="D506" i="33"/>
  <c r="B7" i="25"/>
  <c r="D501" i="33"/>
  <c r="D511" i="33"/>
  <c r="B9" i="25"/>
  <c r="I456" i="33"/>
  <c r="K455" i="33"/>
  <c r="L455" i="33" s="1"/>
  <c r="M455" i="33" s="1"/>
  <c r="N487" i="33"/>
  <c r="O487" i="33" s="1"/>
  <c r="R457" i="33"/>
  <c r="P456" i="33"/>
  <c r="Q456" i="33" s="1"/>
  <c r="R456" i="33" s="1"/>
  <c r="N463" i="33"/>
  <c r="N461" i="33"/>
  <c r="N486" i="33"/>
  <c r="O486" i="33" s="1"/>
  <c r="C496" i="33"/>
  <c r="C361" i="33"/>
  <c r="B18" i="7" s="1"/>
  <c r="L361" i="33"/>
  <c r="K361" i="33"/>
  <c r="H361" i="33"/>
  <c r="N361" i="33"/>
  <c r="F361" i="33"/>
  <c r="I361" i="33"/>
  <c r="E361" i="33"/>
  <c r="C45" i="33"/>
  <c r="B10" i="7" s="1"/>
  <c r="O81" i="33"/>
  <c r="O62" i="33"/>
  <c r="O43" i="33"/>
  <c r="C81" i="7"/>
  <c r="D81" i="7"/>
  <c r="E81" i="7"/>
  <c r="F81" i="7"/>
  <c r="G81" i="7"/>
  <c r="H81" i="7"/>
  <c r="I81" i="7"/>
  <c r="J81" i="7"/>
  <c r="K81" i="7"/>
  <c r="L81" i="7"/>
  <c r="M81" i="7"/>
  <c r="B81" i="7"/>
  <c r="C63" i="7"/>
  <c r="D63" i="7"/>
  <c r="E63" i="7"/>
  <c r="F63" i="7"/>
  <c r="G63" i="7"/>
  <c r="H63" i="7"/>
  <c r="I63" i="7"/>
  <c r="J63" i="7"/>
  <c r="K63" i="7"/>
  <c r="L63" i="7"/>
  <c r="M63" i="7"/>
  <c r="B63" i="7"/>
  <c r="C52" i="7"/>
  <c r="D52" i="7"/>
  <c r="E52" i="7"/>
  <c r="F52" i="7"/>
  <c r="G52" i="7"/>
  <c r="H52" i="7"/>
  <c r="I52" i="7"/>
  <c r="J52" i="7"/>
  <c r="K52" i="7"/>
  <c r="L52" i="7"/>
  <c r="M52" i="7"/>
  <c r="B52" i="7"/>
  <c r="C35" i="7"/>
  <c r="D35" i="7"/>
  <c r="E35" i="7"/>
  <c r="F35" i="7"/>
  <c r="G35" i="7"/>
  <c r="H35" i="7"/>
  <c r="I35" i="7"/>
  <c r="J35" i="7"/>
  <c r="K35" i="7"/>
  <c r="L35" i="7"/>
  <c r="M35" i="7"/>
  <c r="B35" i="7"/>
  <c r="C24" i="7"/>
  <c r="D24" i="7"/>
  <c r="E24" i="7"/>
  <c r="F24" i="7"/>
  <c r="G24" i="7"/>
  <c r="H24" i="7"/>
  <c r="I24" i="7"/>
  <c r="J24" i="7"/>
  <c r="K24" i="7"/>
  <c r="L24" i="7"/>
  <c r="M24" i="7"/>
  <c r="B24" i="7"/>
  <c r="C8" i="7"/>
  <c r="D8" i="7"/>
  <c r="E8" i="7"/>
  <c r="F8" i="7"/>
  <c r="G8" i="7"/>
  <c r="H8" i="7"/>
  <c r="I8" i="7"/>
  <c r="J8" i="7"/>
  <c r="K8" i="7"/>
  <c r="L8" i="7"/>
  <c r="M8" i="7"/>
  <c r="B8" i="7"/>
  <c r="C62" i="7"/>
  <c r="D62" i="7"/>
  <c r="E62" i="7"/>
  <c r="F62" i="7"/>
  <c r="G62" i="7"/>
  <c r="H62" i="7"/>
  <c r="I62" i="7"/>
  <c r="J62" i="7"/>
  <c r="K62" i="7"/>
  <c r="L62" i="7"/>
  <c r="M62" i="7"/>
  <c r="B62" i="7"/>
  <c r="C34" i="7"/>
  <c r="D34" i="7"/>
  <c r="E34" i="7"/>
  <c r="F34" i="7"/>
  <c r="G34" i="7"/>
  <c r="H34" i="7"/>
  <c r="I34" i="7"/>
  <c r="J34" i="7"/>
  <c r="K34" i="7"/>
  <c r="L34" i="7"/>
  <c r="M34" i="7"/>
  <c r="C7" i="7"/>
  <c r="D7" i="7"/>
  <c r="E7" i="7"/>
  <c r="F7" i="7"/>
  <c r="G7" i="7"/>
  <c r="H7" i="7"/>
  <c r="I7" i="7"/>
  <c r="J7" i="7"/>
  <c r="K7" i="7"/>
  <c r="L7" i="7"/>
  <c r="M7" i="7"/>
  <c r="B7" i="7"/>
  <c r="N460" i="33" l="1"/>
  <c r="J460" i="33"/>
  <c r="J465" i="33" s="1"/>
  <c r="C504" i="33" s="1"/>
  <c r="I488" i="33"/>
  <c r="C507" i="33" s="1"/>
  <c r="J361" i="33"/>
  <c r="N470" i="33"/>
  <c r="J470" i="33"/>
  <c r="N469" i="33"/>
  <c r="O469" i="33" s="1"/>
  <c r="J469" i="33"/>
  <c r="S472" i="33"/>
  <c r="T472" i="33" s="1"/>
  <c r="M361" i="33"/>
  <c r="O483" i="33"/>
  <c r="S483" i="33"/>
  <c r="T483" i="33" s="1"/>
  <c r="O475" i="33"/>
  <c r="S475" i="33"/>
  <c r="T475" i="33" s="1"/>
  <c r="N455" i="33"/>
  <c r="O455" i="33" s="1"/>
  <c r="N456" i="33"/>
  <c r="S456" i="33" s="1"/>
  <c r="T456" i="33" s="1"/>
  <c r="C561" i="33"/>
  <c r="E530" i="33"/>
  <c r="S521" i="33"/>
  <c r="N36" i="33" s="1"/>
  <c r="O36" i="33" s="1"/>
  <c r="D553" i="33"/>
  <c r="E536" i="33"/>
  <c r="E553" i="33" s="1"/>
  <c r="T528" i="33"/>
  <c r="N479" i="33"/>
  <c r="O479" i="33" s="1"/>
  <c r="S478" i="33"/>
  <c r="T478" i="33" s="1"/>
  <c r="D361" i="33"/>
  <c r="L467" i="33"/>
  <c r="M467" i="33" s="1"/>
  <c r="N467" i="33" s="1"/>
  <c r="O467" i="33" s="1"/>
  <c r="D530" i="33"/>
  <c r="S519" i="33"/>
  <c r="H524" i="33" s="1"/>
  <c r="C14" i="7"/>
  <c r="T520" i="33"/>
  <c r="S471" i="33"/>
  <c r="T471" i="33" s="1"/>
  <c r="E501" i="33"/>
  <c r="E5" i="25" s="1"/>
  <c r="C5" i="25"/>
  <c r="B10" i="25"/>
  <c r="S474" i="33"/>
  <c r="T474" i="33" s="1"/>
  <c r="E506" i="33"/>
  <c r="E7" i="25" s="1"/>
  <c r="C7" i="25"/>
  <c r="E511" i="33"/>
  <c r="E9" i="25" s="1"/>
  <c r="C9" i="25"/>
  <c r="I465" i="33"/>
  <c r="S487" i="33"/>
  <c r="T487" i="33" s="1"/>
  <c r="P455" i="33"/>
  <c r="Q455" i="33" s="1"/>
  <c r="R455" i="33" s="1"/>
  <c r="R465" i="33" s="1"/>
  <c r="E502" i="33" s="1"/>
  <c r="S481" i="33"/>
  <c r="T481" i="33" s="1"/>
  <c r="M465" i="33"/>
  <c r="S482" i="33"/>
  <c r="T482" i="33" s="1"/>
  <c r="S486" i="33"/>
  <c r="T486" i="33" s="1"/>
  <c r="S485" i="33"/>
  <c r="T485" i="33" s="1"/>
  <c r="S480" i="33"/>
  <c r="T480" i="33" s="1"/>
  <c r="S473" i="33"/>
  <c r="T473" i="33" s="1"/>
  <c r="S468" i="33"/>
  <c r="T468" i="33" s="1"/>
  <c r="S476" i="33"/>
  <c r="T476" i="33" s="1"/>
  <c r="O464" i="33"/>
  <c r="S464" i="33"/>
  <c r="T464" i="33" s="1"/>
  <c r="O461" i="33"/>
  <c r="S461" i="33"/>
  <c r="T461" i="33" s="1"/>
  <c r="O463" i="33"/>
  <c r="S463" i="33"/>
  <c r="T463" i="33" s="1"/>
  <c r="O462" i="33"/>
  <c r="S462" i="33"/>
  <c r="T462" i="33" s="1"/>
  <c r="O458" i="33"/>
  <c r="S458" i="33"/>
  <c r="T458" i="33" s="1"/>
  <c r="O460" i="33"/>
  <c r="S460" i="33"/>
  <c r="T460" i="33" s="1"/>
  <c r="O457" i="33"/>
  <c r="S457" i="33"/>
  <c r="T457" i="33" s="1"/>
  <c r="O459" i="33"/>
  <c r="S459" i="33"/>
  <c r="T459" i="33" s="1"/>
  <c r="S477" i="33"/>
  <c r="T477" i="33" s="1"/>
  <c r="S484" i="33"/>
  <c r="T484" i="33" s="1"/>
  <c r="D390" i="33"/>
  <c r="O360" i="33"/>
  <c r="O359" i="33"/>
  <c r="B21" i="7"/>
  <c r="J488" i="33" l="1"/>
  <c r="M488" i="33"/>
  <c r="D507" i="33" s="1"/>
  <c r="O470" i="33"/>
  <c r="O488" i="33" s="1"/>
  <c r="D509" i="33" s="1"/>
  <c r="N488" i="33"/>
  <c r="D508" i="33" s="1"/>
  <c r="C8" i="25" s="1"/>
  <c r="S470" i="33"/>
  <c r="C508" i="33"/>
  <c r="B8" i="25" s="1"/>
  <c r="S469" i="33"/>
  <c r="T469" i="33" s="1"/>
  <c r="I496" i="33"/>
  <c r="E561" i="33"/>
  <c r="S479" i="33"/>
  <c r="T479" i="33" s="1"/>
  <c r="C503" i="33"/>
  <c r="B6" i="25" s="1"/>
  <c r="O456" i="33"/>
  <c r="O465" i="33" s="1"/>
  <c r="N465" i="33"/>
  <c r="D503" i="33" s="1"/>
  <c r="C6" i="25" s="1"/>
  <c r="D561" i="33"/>
  <c r="B42" i="7"/>
  <c r="N42" i="7" s="1"/>
  <c r="T524" i="33"/>
  <c r="O361" i="33"/>
  <c r="P467" i="33"/>
  <c r="Q467" i="33" s="1"/>
  <c r="R467" i="33" s="1"/>
  <c r="F9" i="25"/>
  <c r="D9" i="25"/>
  <c r="F7" i="25"/>
  <c r="D7" i="25"/>
  <c r="C502" i="33"/>
  <c r="C16" i="13" s="1"/>
  <c r="U520" i="33"/>
  <c r="B32" i="25" s="1"/>
  <c r="D32" i="25" s="1"/>
  <c r="T519" i="33"/>
  <c r="D5" i="25"/>
  <c r="C10" i="25"/>
  <c r="D10" i="25" s="1"/>
  <c r="F5" i="25"/>
  <c r="S455" i="33"/>
  <c r="S465" i="33" s="1"/>
  <c r="E503" i="33" s="1"/>
  <c r="E6" i="25" s="1"/>
  <c r="E10" i="25"/>
  <c r="M496" i="33"/>
  <c r="D502" i="33"/>
  <c r="D16" i="13" s="1"/>
  <c r="N83" i="7"/>
  <c r="N81" i="7"/>
  <c r="N80" i="7"/>
  <c r="N71" i="7"/>
  <c r="N68" i="7"/>
  <c r="N63" i="7"/>
  <c r="N62" i="7"/>
  <c r="N54" i="7"/>
  <c r="N52" i="7"/>
  <c r="N51" i="7"/>
  <c r="N39" i="7"/>
  <c r="N35" i="7"/>
  <c r="N22" i="7"/>
  <c r="N23" i="7"/>
  <c r="N24" i="7"/>
  <c r="N26" i="7"/>
  <c r="N14" i="7"/>
  <c r="N7" i="7"/>
  <c r="N8" i="7"/>
  <c r="N11" i="7"/>
  <c r="M322" i="33"/>
  <c r="M320" i="33"/>
  <c r="M318" i="33"/>
  <c r="M314" i="33"/>
  <c r="M310" i="33"/>
  <c r="M312" i="33" s="1"/>
  <c r="M283" i="33"/>
  <c r="M281" i="33"/>
  <c r="M279" i="33"/>
  <c r="M275" i="33"/>
  <c r="M271" i="33"/>
  <c r="M273" i="33" s="1"/>
  <c r="M244" i="33"/>
  <c r="M242" i="33"/>
  <c r="M240" i="33"/>
  <c r="M236" i="33"/>
  <c r="M232" i="33"/>
  <c r="M234" i="33" s="1"/>
  <c r="N34" i="34"/>
  <c r="M34" i="34"/>
  <c r="L34" i="34"/>
  <c r="K34" i="34"/>
  <c r="J34" i="34"/>
  <c r="I34" i="34"/>
  <c r="H34" i="34"/>
  <c r="G34" i="34"/>
  <c r="F34" i="34"/>
  <c r="E34" i="34"/>
  <c r="D34" i="34"/>
  <c r="C34" i="34"/>
  <c r="O33" i="34"/>
  <c r="O32" i="34"/>
  <c r="O28" i="34"/>
  <c r="N27" i="34"/>
  <c r="M27" i="34"/>
  <c r="L27" i="34"/>
  <c r="K27" i="34"/>
  <c r="J27" i="34"/>
  <c r="I27" i="34"/>
  <c r="H27" i="34"/>
  <c r="G27" i="34"/>
  <c r="F27" i="34"/>
  <c r="E27" i="34"/>
  <c r="D27" i="34"/>
  <c r="O26" i="34"/>
  <c r="C22" i="34"/>
  <c r="D22" i="34" s="1"/>
  <c r="E22" i="34" s="1"/>
  <c r="F22" i="34" s="1"/>
  <c r="D20" i="34"/>
  <c r="E20" i="34"/>
  <c r="F20" i="34"/>
  <c r="G20" i="34"/>
  <c r="H20" i="34"/>
  <c r="I20" i="34"/>
  <c r="J20" i="34"/>
  <c r="K20" i="34"/>
  <c r="L20" i="34"/>
  <c r="M20" i="34"/>
  <c r="N20" i="34"/>
  <c r="C20" i="34"/>
  <c r="O21" i="34"/>
  <c r="O19" i="34"/>
  <c r="O18" i="34"/>
  <c r="N65" i="1"/>
  <c r="M65" i="1"/>
  <c r="L65" i="1"/>
  <c r="K65" i="1"/>
  <c r="J65" i="1"/>
  <c r="AH633" i="33" s="1"/>
  <c r="I65" i="1"/>
  <c r="H65" i="1"/>
  <c r="G65" i="1"/>
  <c r="F65" i="1"/>
  <c r="E65" i="1"/>
  <c r="D65" i="1"/>
  <c r="C65" i="1"/>
  <c r="O64" i="1"/>
  <c r="O63" i="1"/>
  <c r="O62" i="1"/>
  <c r="O61" i="1"/>
  <c r="O60" i="1"/>
  <c r="O59" i="1"/>
  <c r="O58" i="1"/>
  <c r="O57" i="1"/>
  <c r="O56" i="1"/>
  <c r="N47" i="1"/>
  <c r="Z633" i="33" s="1"/>
  <c r="M47" i="1"/>
  <c r="L47" i="1"/>
  <c r="K47" i="1"/>
  <c r="J47" i="1"/>
  <c r="V633" i="33" s="1"/>
  <c r="I47" i="1"/>
  <c r="U633" i="33" s="1"/>
  <c r="H47" i="1"/>
  <c r="T633" i="33" s="1"/>
  <c r="G47" i="1"/>
  <c r="F47" i="1"/>
  <c r="E47" i="1"/>
  <c r="Q633" i="33" s="1"/>
  <c r="D47" i="1"/>
  <c r="P633" i="33" s="1"/>
  <c r="C47" i="1"/>
  <c r="O46" i="1"/>
  <c r="O45" i="1"/>
  <c r="O44" i="1"/>
  <c r="O43" i="1"/>
  <c r="O42" i="1"/>
  <c r="O41" i="1"/>
  <c r="O40" i="1"/>
  <c r="O39" i="1"/>
  <c r="O38" i="1"/>
  <c r="S467" i="33" l="1"/>
  <c r="T467" i="33" s="1"/>
  <c r="R488" i="33"/>
  <c r="C509" i="33"/>
  <c r="J496" i="33"/>
  <c r="T470" i="33"/>
  <c r="T488" i="33" s="1"/>
  <c r="E509" i="33" s="1"/>
  <c r="S488" i="33"/>
  <c r="E508" i="33" s="1"/>
  <c r="E8" i="25" s="1"/>
  <c r="E11" i="25" s="1"/>
  <c r="B11" i="25"/>
  <c r="D8" i="25"/>
  <c r="E16" i="13"/>
  <c r="E69" i="33"/>
  <c r="AC633" i="33"/>
  <c r="M69" i="33"/>
  <c r="AK633" i="33"/>
  <c r="C94" i="33"/>
  <c r="O633" i="33"/>
  <c r="K94" i="33"/>
  <c r="W633" i="33"/>
  <c r="F69" i="33"/>
  <c r="AD633" i="33"/>
  <c r="N69" i="33"/>
  <c r="AL633" i="33"/>
  <c r="L94" i="33"/>
  <c r="X633" i="33"/>
  <c r="C69" i="33"/>
  <c r="AA633" i="33"/>
  <c r="G69" i="33"/>
  <c r="AE633" i="33"/>
  <c r="K69" i="33"/>
  <c r="AI633" i="33"/>
  <c r="F94" i="33"/>
  <c r="R633" i="33"/>
  <c r="I69" i="33"/>
  <c r="AG633" i="33"/>
  <c r="G94" i="33"/>
  <c r="S633" i="33"/>
  <c r="M50" i="33"/>
  <c r="Y633" i="33"/>
  <c r="D69" i="33"/>
  <c r="AB633" i="33"/>
  <c r="H69" i="33"/>
  <c r="AF633" i="33"/>
  <c r="L69" i="33"/>
  <c r="AJ633" i="33"/>
  <c r="E26" i="37"/>
  <c r="E28" i="37" s="1"/>
  <c r="E67" i="1"/>
  <c r="K98" i="33"/>
  <c r="O34" i="34"/>
  <c r="C11" i="25"/>
  <c r="D6" i="25"/>
  <c r="N496" i="33"/>
  <c r="F6" i="25"/>
  <c r="T455" i="33"/>
  <c r="T465" i="33" s="1"/>
  <c r="G98" i="33"/>
  <c r="I67" i="1"/>
  <c r="N67" i="1"/>
  <c r="C98" i="33"/>
  <c r="L98" i="33"/>
  <c r="H98" i="33"/>
  <c r="M67" i="1"/>
  <c r="D67" i="1"/>
  <c r="O65" i="1"/>
  <c r="F4" i="13" s="1"/>
  <c r="G7" i="37" s="1"/>
  <c r="G9" i="37" s="1"/>
  <c r="J67" i="1"/>
  <c r="J69" i="33"/>
  <c r="L67" i="1"/>
  <c r="G67" i="1"/>
  <c r="N98" i="33"/>
  <c r="J98" i="33"/>
  <c r="F98" i="33"/>
  <c r="D98" i="33"/>
  <c r="H67" i="1"/>
  <c r="C67" i="1"/>
  <c r="K67" i="1"/>
  <c r="F67" i="1"/>
  <c r="M98" i="33"/>
  <c r="I98" i="33"/>
  <c r="E98" i="33"/>
  <c r="H49" i="1"/>
  <c r="H50" i="33"/>
  <c r="J49" i="1"/>
  <c r="J50" i="33"/>
  <c r="D49" i="1"/>
  <c r="D50" i="33"/>
  <c r="L49" i="1"/>
  <c r="L50" i="33"/>
  <c r="H94" i="33"/>
  <c r="D94" i="33"/>
  <c r="E49" i="1"/>
  <c r="E50" i="33"/>
  <c r="I49" i="1"/>
  <c r="I50" i="33"/>
  <c r="F49" i="1"/>
  <c r="F50" i="33"/>
  <c r="N49" i="1"/>
  <c r="N50" i="33"/>
  <c r="N94" i="33"/>
  <c r="J94" i="33"/>
  <c r="C49" i="1"/>
  <c r="C50" i="33"/>
  <c r="G49" i="1"/>
  <c r="G50" i="33"/>
  <c r="K49" i="1"/>
  <c r="K50" i="33"/>
  <c r="M49" i="1"/>
  <c r="M94" i="33"/>
  <c r="I94" i="33"/>
  <c r="E94" i="33"/>
  <c r="F10" i="25"/>
  <c r="O496" i="33"/>
  <c r="D504" i="33"/>
  <c r="D306" i="33"/>
  <c r="D302" i="33"/>
  <c r="D298" i="33"/>
  <c r="D294" i="33"/>
  <c r="D290" i="33"/>
  <c r="D286" i="33"/>
  <c r="D282" i="33"/>
  <c r="D278" i="33"/>
  <c r="D345" i="33"/>
  <c r="D341" i="33"/>
  <c r="D337" i="33"/>
  <c r="D333" i="33"/>
  <c r="D329" i="33"/>
  <c r="D325" i="33"/>
  <c r="D321" i="33"/>
  <c r="D317" i="33"/>
  <c r="D313" i="33"/>
  <c r="D344" i="33"/>
  <c r="D340" i="33"/>
  <c r="D336" i="33"/>
  <c r="D332" i="33"/>
  <c r="D328" i="33"/>
  <c r="D324" i="33"/>
  <c r="D320" i="33"/>
  <c r="D316" i="33"/>
  <c r="D312" i="33"/>
  <c r="D273" i="33"/>
  <c r="D280" i="33"/>
  <c r="D288" i="33"/>
  <c r="D296" i="33"/>
  <c r="D304" i="33"/>
  <c r="D310" i="33"/>
  <c r="E310" i="33" s="1"/>
  <c r="D318" i="33"/>
  <c r="D326" i="33"/>
  <c r="D334" i="33"/>
  <c r="D342" i="33"/>
  <c r="D274" i="33"/>
  <c r="D281" i="33"/>
  <c r="D289" i="33"/>
  <c r="D297" i="33"/>
  <c r="D305" i="33"/>
  <c r="D311" i="33"/>
  <c r="D319" i="33"/>
  <c r="D327" i="33"/>
  <c r="D335" i="33"/>
  <c r="D343" i="33"/>
  <c r="D276" i="33"/>
  <c r="D284" i="33"/>
  <c r="D292" i="33"/>
  <c r="D300" i="33"/>
  <c r="D314" i="33"/>
  <c r="D322" i="33"/>
  <c r="D330" i="33"/>
  <c r="D338" i="33"/>
  <c r="D303" i="33"/>
  <c r="D272" i="33"/>
  <c r="D277" i="33"/>
  <c r="D285" i="33"/>
  <c r="D293" i="33"/>
  <c r="D301" i="33"/>
  <c r="D315" i="33"/>
  <c r="D323" i="33"/>
  <c r="D331" i="33"/>
  <c r="D339" i="33"/>
  <c r="D271" i="33"/>
  <c r="E271" i="33" s="1"/>
  <c r="D275" i="33"/>
  <c r="D279" i="33"/>
  <c r="D283" i="33"/>
  <c r="D287" i="33"/>
  <c r="D291" i="33"/>
  <c r="D295" i="33"/>
  <c r="D299" i="33"/>
  <c r="D267" i="33"/>
  <c r="D252" i="33"/>
  <c r="D240" i="33"/>
  <c r="D256" i="33"/>
  <c r="D244" i="33"/>
  <c r="D260" i="33"/>
  <c r="D236" i="33"/>
  <c r="D234" i="33"/>
  <c r="D248" i="33"/>
  <c r="D264" i="33"/>
  <c r="D232" i="33"/>
  <c r="D237" i="33"/>
  <c r="D241" i="33"/>
  <c r="D245" i="33"/>
  <c r="D249" i="33"/>
  <c r="D253" i="33"/>
  <c r="D257" i="33"/>
  <c r="D262" i="33"/>
  <c r="D265" i="33"/>
  <c r="D233" i="33"/>
  <c r="D238" i="33"/>
  <c r="D242" i="33"/>
  <c r="D246" i="33"/>
  <c r="D250" i="33"/>
  <c r="D254" i="33"/>
  <c r="D258" i="33"/>
  <c r="D261" i="33"/>
  <c r="D266" i="33"/>
  <c r="D235" i="33"/>
  <c r="D239" i="33"/>
  <c r="D243" i="33"/>
  <c r="D247" i="33"/>
  <c r="D251" i="33"/>
  <c r="D255" i="33"/>
  <c r="D259" i="33"/>
  <c r="D263" i="33"/>
  <c r="G22" i="34"/>
  <c r="H22" i="34" s="1"/>
  <c r="I22" i="34" s="1"/>
  <c r="J22" i="34" s="1"/>
  <c r="K22" i="34" s="1"/>
  <c r="L22" i="34" s="1"/>
  <c r="M22" i="34" s="1"/>
  <c r="N22" i="34" s="1"/>
  <c r="O22" i="34" s="1"/>
  <c r="C29" i="34" s="1"/>
  <c r="D29" i="34" s="1"/>
  <c r="E29" i="34" s="1"/>
  <c r="F29" i="34" s="1"/>
  <c r="G29" i="34" s="1"/>
  <c r="H29" i="34" s="1"/>
  <c r="I29" i="34" s="1"/>
  <c r="J29" i="34" s="1"/>
  <c r="K29" i="34" s="1"/>
  <c r="L29" i="34" s="1"/>
  <c r="M29" i="34" s="1"/>
  <c r="N29" i="34" s="1"/>
  <c r="O29" i="34" s="1"/>
  <c r="C36" i="34" s="1"/>
  <c r="D36" i="34" s="1"/>
  <c r="E36" i="34" s="1"/>
  <c r="F36" i="34" s="1"/>
  <c r="G36" i="34" s="1"/>
  <c r="H36" i="34" s="1"/>
  <c r="I36" i="34" s="1"/>
  <c r="J36" i="34" s="1"/>
  <c r="K36" i="34" s="1"/>
  <c r="L36" i="34" s="1"/>
  <c r="M36" i="34" s="1"/>
  <c r="N36" i="34" s="1"/>
  <c r="O36" i="34" s="1"/>
  <c r="O20" i="34"/>
  <c r="O47" i="1"/>
  <c r="D4" i="13" s="1"/>
  <c r="P113" i="33"/>
  <c r="E33" i="25" s="1"/>
  <c r="P109" i="33"/>
  <c r="C33" i="25" s="1"/>
  <c r="F33" i="25" s="1"/>
  <c r="P105" i="33"/>
  <c r="B33" i="25" s="1"/>
  <c r="D33" i="25" s="1"/>
  <c r="C91" i="33"/>
  <c r="B6" i="7" s="1"/>
  <c r="O225" i="33"/>
  <c r="O219" i="33"/>
  <c r="O212" i="33"/>
  <c r="O206" i="33"/>
  <c r="T496" i="33" l="1"/>
  <c r="R496" i="33"/>
  <c r="E507" i="33"/>
  <c r="F16" i="13" s="1"/>
  <c r="O69" i="33"/>
  <c r="F8" i="25"/>
  <c r="E7" i="37"/>
  <c r="G4" i="13"/>
  <c r="C31" i="25"/>
  <c r="S496" i="33"/>
  <c r="E504" i="33"/>
  <c r="O50" i="33"/>
  <c r="O49" i="1"/>
  <c r="E36" i="7"/>
  <c r="I36" i="7"/>
  <c r="E9" i="7"/>
  <c r="M64" i="7"/>
  <c r="K36" i="7"/>
  <c r="G9" i="7"/>
  <c r="L9" i="7"/>
  <c r="M9" i="7"/>
  <c r="K64" i="7"/>
  <c r="F36" i="7"/>
  <c r="C9" i="7"/>
  <c r="G310" i="33"/>
  <c r="F310" i="33" s="1"/>
  <c r="H310" i="33" s="1"/>
  <c r="I310" i="33" s="1"/>
  <c r="E311" i="33" s="1"/>
  <c r="G311" i="33" s="1"/>
  <c r="B36" i="7"/>
  <c r="G64" i="7"/>
  <c r="G36" i="7"/>
  <c r="E232" i="33"/>
  <c r="G232" i="33" s="1"/>
  <c r="B9" i="7"/>
  <c r="B12" i="7" s="1"/>
  <c r="J64" i="7"/>
  <c r="F9" i="7"/>
  <c r="B64" i="7"/>
  <c r="D36" i="7"/>
  <c r="H64" i="7"/>
  <c r="E64" i="7"/>
  <c r="M36" i="7"/>
  <c r="I9" i="7"/>
  <c r="D64" i="7"/>
  <c r="C36" i="7"/>
  <c r="F64" i="7"/>
  <c r="D9" i="7"/>
  <c r="H36" i="7"/>
  <c r="L64" i="7"/>
  <c r="I64" i="7"/>
  <c r="K9" i="7"/>
  <c r="G271" i="33"/>
  <c r="F271" i="33" s="1"/>
  <c r="H271" i="33" s="1"/>
  <c r="I271" i="33" s="1"/>
  <c r="E272" i="33" s="1"/>
  <c r="G272" i="33" s="1"/>
  <c r="J36" i="7"/>
  <c r="C64" i="7"/>
  <c r="J9" i="7"/>
  <c r="H9" i="7"/>
  <c r="L36" i="7"/>
  <c r="F232" i="33"/>
  <c r="E31" i="25"/>
  <c r="B31" i="25"/>
  <c r="D31" i="25" s="1"/>
  <c r="O193" i="33"/>
  <c r="O199" i="33"/>
  <c r="G16" i="13" l="1"/>
  <c r="H7" i="37"/>
  <c r="F31" i="25"/>
  <c r="G166" i="33"/>
  <c r="M166" i="33" s="1"/>
  <c r="E166" i="33"/>
  <c r="L166" i="33" s="1"/>
  <c r="G169" i="33"/>
  <c r="M169" i="33" s="1"/>
  <c r="E169" i="33"/>
  <c r="L169" i="33" s="1"/>
  <c r="G161" i="33"/>
  <c r="M161" i="33" s="1"/>
  <c r="E161" i="33"/>
  <c r="L161" i="33" s="1"/>
  <c r="G168" i="33"/>
  <c r="M168" i="33" s="1"/>
  <c r="E168" i="33"/>
  <c r="L168" i="33" s="1"/>
  <c r="G160" i="33"/>
  <c r="M160" i="33" s="1"/>
  <c r="E160" i="33"/>
  <c r="L160" i="33" s="1"/>
  <c r="G162" i="33"/>
  <c r="M162" i="33" s="1"/>
  <c r="E162" i="33"/>
  <c r="L162" i="33" s="1"/>
  <c r="G165" i="33"/>
  <c r="M165" i="33" s="1"/>
  <c r="E165" i="33"/>
  <c r="L165" i="33" s="1"/>
  <c r="G164" i="33"/>
  <c r="M164" i="33" s="1"/>
  <c r="E164" i="33"/>
  <c r="L164" i="33" s="1"/>
  <c r="G167" i="33"/>
  <c r="M167" i="33" s="1"/>
  <c r="E167" i="33"/>
  <c r="L167" i="33" s="1"/>
  <c r="G163" i="33"/>
  <c r="M163" i="33" s="1"/>
  <c r="E163" i="33"/>
  <c r="L163" i="33" s="1"/>
  <c r="H232" i="33"/>
  <c r="I232" i="33" s="1"/>
  <c r="E233" i="33" s="1"/>
  <c r="G233" i="33" s="1"/>
  <c r="B25" i="7"/>
  <c r="N64" i="7"/>
  <c r="N36" i="7"/>
  <c r="N9" i="7"/>
  <c r="F272" i="33"/>
  <c r="F311" i="33"/>
  <c r="O192" i="33"/>
  <c r="C191" i="33"/>
  <c r="O191" i="33" s="1"/>
  <c r="C196" i="33"/>
  <c r="I195" i="33"/>
  <c r="C195" i="33"/>
  <c r="L195" i="33"/>
  <c r="F195" i="33"/>
  <c r="J195" i="33"/>
  <c r="G195" i="33"/>
  <c r="D195" i="33"/>
  <c r="M195" i="33"/>
  <c r="E196" i="33"/>
  <c r="D196" i="33"/>
  <c r="K195" i="33"/>
  <c r="N195" i="33"/>
  <c r="H195" i="33"/>
  <c r="E195" i="33"/>
  <c r="N197" i="33"/>
  <c r="O197" i="33" s="1"/>
  <c r="C190" i="33"/>
  <c r="H194" i="33"/>
  <c r="H198" i="33" s="1"/>
  <c r="G16" i="7" s="1"/>
  <c r="I190" i="33"/>
  <c r="F190" i="33"/>
  <c r="L194" i="33"/>
  <c r="D189" i="33"/>
  <c r="E194" i="33"/>
  <c r="K194" i="33"/>
  <c r="G194" i="33"/>
  <c r="F189" i="33"/>
  <c r="L190" i="33"/>
  <c r="N194" i="33"/>
  <c r="J194" i="33"/>
  <c r="F194" i="33"/>
  <c r="M194" i="33"/>
  <c r="I194" i="33"/>
  <c r="C189" i="33"/>
  <c r="K189" i="33"/>
  <c r="G189" i="33"/>
  <c r="N189" i="33"/>
  <c r="J189" i="33"/>
  <c r="C194" i="33"/>
  <c r="M189" i="33"/>
  <c r="I189" i="33"/>
  <c r="E189" i="33"/>
  <c r="D194" i="33"/>
  <c r="L189" i="33"/>
  <c r="H189" i="33"/>
  <c r="D91" i="33"/>
  <c r="C6" i="7" s="1"/>
  <c r="F198" i="33" l="1"/>
  <c r="E16" i="7" s="1"/>
  <c r="F233" i="33"/>
  <c r="H233" i="33" s="1"/>
  <c r="I233" i="33" s="1"/>
  <c r="E234" i="33" s="1"/>
  <c r="G234" i="33" s="1"/>
  <c r="H311" i="33"/>
  <c r="I311" i="33" s="1"/>
  <c r="E312" i="33" s="1"/>
  <c r="G312" i="33" s="1"/>
  <c r="H272" i="33"/>
  <c r="I272" i="33" s="1"/>
  <c r="E273" i="33" s="1"/>
  <c r="G273" i="33" s="1"/>
  <c r="J198" i="33"/>
  <c r="I16" i="7" s="1"/>
  <c r="G198" i="33"/>
  <c r="F16" i="7" s="1"/>
  <c r="I198" i="33"/>
  <c r="H16" i="7" s="1"/>
  <c r="N198" i="33"/>
  <c r="M16" i="7" s="1"/>
  <c r="K198" i="33"/>
  <c r="J16" i="7" s="1"/>
  <c r="E198" i="33"/>
  <c r="D16" i="7" s="1"/>
  <c r="L198" i="33"/>
  <c r="K16" i="7" s="1"/>
  <c r="O195" i="33"/>
  <c r="M198" i="33"/>
  <c r="L16" i="7" s="1"/>
  <c r="O196" i="33"/>
  <c r="D198" i="33"/>
  <c r="C16" i="7" s="1"/>
  <c r="C198" i="33"/>
  <c r="B16" i="7" s="1"/>
  <c r="P199" i="33"/>
  <c r="B34" i="25" s="1"/>
  <c r="O190" i="33"/>
  <c r="O189" i="33"/>
  <c r="O194" i="33"/>
  <c r="C25" i="7" l="1"/>
  <c r="F234" i="33"/>
  <c r="H234" i="33" s="1"/>
  <c r="I234" i="33" s="1"/>
  <c r="E235" i="33" s="1"/>
  <c r="G235" i="33" s="1"/>
  <c r="N16" i="7"/>
  <c r="F312" i="33"/>
  <c r="F273" i="33"/>
  <c r="O198" i="33"/>
  <c r="P19" i="33"/>
  <c r="C8" i="33"/>
  <c r="P8" i="33" s="1"/>
  <c r="P20" i="33"/>
  <c r="H40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74" i="7" s="1"/>
  <c r="O38" i="32"/>
  <c r="O37" i="32"/>
  <c r="O36" i="32"/>
  <c r="O35" i="32"/>
  <c r="O34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45" i="7" s="1"/>
  <c r="O29" i="32"/>
  <c r="O28" i="32"/>
  <c r="O27" i="32"/>
  <c r="O26" i="32"/>
  <c r="O2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O54" i="32"/>
  <c r="O53" i="32"/>
  <c r="O52" i="32"/>
  <c r="O51" i="32"/>
  <c r="O50" i="32"/>
  <c r="O49" i="32"/>
  <c r="O46" i="32"/>
  <c r="O45" i="32"/>
  <c r="N72" i="32"/>
  <c r="M72" i="32"/>
  <c r="M74" i="32" s="1"/>
  <c r="L72" i="32"/>
  <c r="K72" i="32"/>
  <c r="K74" i="32" s="1"/>
  <c r="J72" i="32"/>
  <c r="J74" i="32" s="1"/>
  <c r="I72" i="32"/>
  <c r="H72" i="32"/>
  <c r="G72" i="32"/>
  <c r="G74" i="32" s="1"/>
  <c r="F72" i="32"/>
  <c r="E72" i="32"/>
  <c r="E74" i="32" s="1"/>
  <c r="D72" i="32"/>
  <c r="C72" i="32"/>
  <c r="C74" i="32" s="1"/>
  <c r="O71" i="32"/>
  <c r="O70" i="32"/>
  <c r="O69" i="32"/>
  <c r="O68" i="32"/>
  <c r="O67" i="32"/>
  <c r="O66" i="32"/>
  <c r="O63" i="32"/>
  <c r="O62" i="32"/>
  <c r="E40" i="32" l="1"/>
  <c r="I40" i="32"/>
  <c r="M40" i="32"/>
  <c r="F40" i="32"/>
  <c r="J40" i="32"/>
  <c r="C40" i="32"/>
  <c r="G40" i="32"/>
  <c r="K40" i="32"/>
  <c r="D40" i="32"/>
  <c r="I410" i="33"/>
  <c r="L40" i="32"/>
  <c r="N40" i="32"/>
  <c r="P414" i="33"/>
  <c r="I57" i="32"/>
  <c r="I16" i="33" s="1"/>
  <c r="D31" i="32"/>
  <c r="L31" i="32"/>
  <c r="F73" i="32"/>
  <c r="F74" i="32"/>
  <c r="N73" i="32"/>
  <c r="N74" i="32"/>
  <c r="F56" i="32"/>
  <c r="F15" i="33" s="1"/>
  <c r="F57" i="32"/>
  <c r="J56" i="32"/>
  <c r="J15" i="33" s="1"/>
  <c r="J57" i="32"/>
  <c r="N56" i="32"/>
  <c r="N15" i="33" s="1"/>
  <c r="N57" i="32"/>
  <c r="E31" i="32"/>
  <c r="I31" i="32"/>
  <c r="M31" i="32"/>
  <c r="M57" i="32"/>
  <c r="M59" i="32" s="1"/>
  <c r="M421" i="33" s="1"/>
  <c r="L19" i="7" s="1"/>
  <c r="C56" i="32"/>
  <c r="C15" i="33" s="1"/>
  <c r="C57" i="32"/>
  <c r="G56" i="32"/>
  <c r="G15" i="33" s="1"/>
  <c r="G57" i="32"/>
  <c r="K56" i="32"/>
  <c r="K15" i="33" s="1"/>
  <c r="K57" i="32"/>
  <c r="F31" i="32"/>
  <c r="J31" i="32"/>
  <c r="N31" i="32"/>
  <c r="I73" i="32"/>
  <c r="I74" i="32"/>
  <c r="E57" i="32"/>
  <c r="E16" i="33" s="1"/>
  <c r="H31" i="32"/>
  <c r="D73" i="32"/>
  <c r="D74" i="32"/>
  <c r="H73" i="32"/>
  <c r="H74" i="32"/>
  <c r="L73" i="32"/>
  <c r="L74" i="32"/>
  <c r="D57" i="32"/>
  <c r="D16" i="33" s="1"/>
  <c r="H14" i="33"/>
  <c r="H57" i="32"/>
  <c r="L57" i="32"/>
  <c r="L16" i="33" s="1"/>
  <c r="C31" i="32"/>
  <c r="G31" i="32"/>
  <c r="K31" i="32"/>
  <c r="I14" i="33"/>
  <c r="N14" i="33"/>
  <c r="M14" i="33"/>
  <c r="E14" i="33"/>
  <c r="F14" i="33"/>
  <c r="J14" i="33"/>
  <c r="L14" i="33"/>
  <c r="D14" i="33"/>
  <c r="O39" i="32"/>
  <c r="C14" i="33"/>
  <c r="K14" i="33"/>
  <c r="G14" i="33"/>
  <c r="D25" i="7"/>
  <c r="H312" i="33"/>
  <c r="I312" i="33" s="1"/>
  <c r="E313" i="33" s="1"/>
  <c r="G313" i="33" s="1"/>
  <c r="H273" i="33"/>
  <c r="I273" i="33" s="1"/>
  <c r="E274" i="33" s="1"/>
  <c r="G274" i="33" s="1"/>
  <c r="F235" i="33"/>
  <c r="H235" i="33" s="1"/>
  <c r="I235" i="33" s="1"/>
  <c r="E236" i="33" s="1"/>
  <c r="O30" i="32"/>
  <c r="O55" i="32"/>
  <c r="C14" i="13" s="1"/>
  <c r="E14" i="13" s="1"/>
  <c r="D56" i="32"/>
  <c r="H56" i="32"/>
  <c r="H15" i="33" s="1"/>
  <c r="L56" i="32"/>
  <c r="E56" i="32"/>
  <c r="I56" i="32"/>
  <c r="M56" i="32"/>
  <c r="M73" i="32"/>
  <c r="O72" i="32"/>
  <c r="D14" i="13" s="1"/>
  <c r="G14" i="13" s="1"/>
  <c r="E73" i="32"/>
  <c r="E76" i="32"/>
  <c r="E431" i="33" s="1"/>
  <c r="D47" i="7" s="1"/>
  <c r="M76" i="32"/>
  <c r="M431" i="33" s="1"/>
  <c r="L47" i="7" s="1"/>
  <c r="J73" i="32"/>
  <c r="C73" i="32"/>
  <c r="G73" i="32"/>
  <c r="K73" i="32"/>
  <c r="J76" i="32"/>
  <c r="J431" i="33" s="1"/>
  <c r="I47" i="7" s="1"/>
  <c r="C76" i="32"/>
  <c r="C431" i="33" s="1"/>
  <c r="B47" i="7" s="1"/>
  <c r="G76" i="32"/>
  <c r="G431" i="33" s="1"/>
  <c r="F47" i="7" s="1"/>
  <c r="K76" i="32"/>
  <c r="K431" i="33" s="1"/>
  <c r="J47" i="7" s="1"/>
  <c r="N89" i="32"/>
  <c r="M89" i="32"/>
  <c r="M91" i="32" s="1"/>
  <c r="L89" i="32"/>
  <c r="L91" i="32" s="1"/>
  <c r="K89" i="32"/>
  <c r="K91" i="32" s="1"/>
  <c r="J89" i="32"/>
  <c r="J91" i="32" s="1"/>
  <c r="I89" i="32"/>
  <c r="I91" i="32" s="1"/>
  <c r="H89" i="32"/>
  <c r="H91" i="32" s="1"/>
  <c r="G89" i="32"/>
  <c r="G91" i="32" s="1"/>
  <c r="F89" i="32"/>
  <c r="F91" i="32" s="1"/>
  <c r="E89" i="32"/>
  <c r="E91" i="32" s="1"/>
  <c r="D89" i="32"/>
  <c r="D91" i="32" s="1"/>
  <c r="C89" i="32"/>
  <c r="C91" i="32" s="1"/>
  <c r="O88" i="32"/>
  <c r="O87" i="32"/>
  <c r="O86" i="32"/>
  <c r="O85" i="32"/>
  <c r="O84" i="32"/>
  <c r="O80" i="32"/>
  <c r="O79" i="32"/>
  <c r="N21" i="32"/>
  <c r="M21" i="32"/>
  <c r="L21" i="32"/>
  <c r="K21" i="32"/>
  <c r="J21" i="32"/>
  <c r="I21" i="32"/>
  <c r="H21" i="32"/>
  <c r="G21" i="32"/>
  <c r="F21" i="32"/>
  <c r="E21" i="32"/>
  <c r="D21" i="32"/>
  <c r="B17" i="7"/>
  <c r="O20" i="32"/>
  <c r="O19" i="32"/>
  <c r="O18" i="32"/>
  <c r="O17" i="32"/>
  <c r="O16" i="32"/>
  <c r="O22" i="1"/>
  <c r="O23" i="1"/>
  <c r="O24" i="1"/>
  <c r="C74" i="2"/>
  <c r="E18" i="2"/>
  <c r="E118" i="33" s="1"/>
  <c r="L118" i="33" s="1"/>
  <c r="C75" i="2"/>
  <c r="O20" i="1"/>
  <c r="D21" i="11"/>
  <c r="C16" i="11"/>
  <c r="C12" i="11"/>
  <c r="C31" i="3"/>
  <c r="C54" i="3"/>
  <c r="C61" i="3"/>
  <c r="E119" i="33"/>
  <c r="L119" i="33" s="1"/>
  <c r="O28" i="1"/>
  <c r="O21" i="1"/>
  <c r="O25" i="1"/>
  <c r="O26" i="1"/>
  <c r="O27" i="1"/>
  <c r="D29" i="1"/>
  <c r="E29" i="1"/>
  <c r="F29" i="1"/>
  <c r="G29" i="1"/>
  <c r="H29" i="1"/>
  <c r="I29" i="1"/>
  <c r="J29" i="1"/>
  <c r="K29" i="1"/>
  <c r="L29" i="1"/>
  <c r="M29" i="1"/>
  <c r="N29" i="1"/>
  <c r="C29" i="1"/>
  <c r="L633" i="33" l="1"/>
  <c r="L7" i="33"/>
  <c r="H7" i="33"/>
  <c r="H633" i="33"/>
  <c r="C7" i="33"/>
  <c r="C633" i="33"/>
  <c r="K7" i="33"/>
  <c r="K633" i="33"/>
  <c r="G7" i="33"/>
  <c r="G633" i="33"/>
  <c r="J7" i="33"/>
  <c r="J633" i="33"/>
  <c r="F7" i="33"/>
  <c r="F633" i="33"/>
  <c r="D7" i="33"/>
  <c r="D633" i="33"/>
  <c r="N7" i="33"/>
  <c r="N633" i="33"/>
  <c r="M633" i="33"/>
  <c r="M7" i="33"/>
  <c r="I633" i="33"/>
  <c r="I7" i="33"/>
  <c r="E633" i="33"/>
  <c r="E7" i="33"/>
  <c r="L410" i="33"/>
  <c r="F411" i="33"/>
  <c r="F412" i="33" s="1"/>
  <c r="D410" i="33"/>
  <c r="D412" i="33" s="1"/>
  <c r="G410" i="33"/>
  <c r="G412" i="33" s="1"/>
  <c r="I411" i="33"/>
  <c r="I412" i="33" s="1"/>
  <c r="J410" i="33"/>
  <c r="J412" i="33" s="1"/>
  <c r="L411" i="33"/>
  <c r="L412" i="33" s="1"/>
  <c r="I31" i="1"/>
  <c r="I90" i="33"/>
  <c r="M410" i="33"/>
  <c r="M412" i="33" s="1"/>
  <c r="E410" i="33"/>
  <c r="E412" i="33" s="1"/>
  <c r="H410" i="33"/>
  <c r="H412" i="33" s="1"/>
  <c r="K410" i="33"/>
  <c r="K412" i="33" s="1"/>
  <c r="N410" i="33"/>
  <c r="N412" i="33" s="1"/>
  <c r="F410" i="33"/>
  <c r="C90" i="33"/>
  <c r="C31" i="33"/>
  <c r="C79" i="2"/>
  <c r="C77" i="2"/>
  <c r="E117" i="33"/>
  <c r="C410" i="33"/>
  <c r="G388" i="33"/>
  <c r="G390" i="33" s="1"/>
  <c r="I389" i="33"/>
  <c r="H388" i="33"/>
  <c r="H390" i="33" s="1"/>
  <c r="P392" i="33"/>
  <c r="C411" i="33"/>
  <c r="F389" i="33"/>
  <c r="D388" i="33"/>
  <c r="L389" i="33"/>
  <c r="J388" i="33"/>
  <c r="J390" i="33" s="1"/>
  <c r="O400" i="33"/>
  <c r="J31" i="1"/>
  <c r="J90" i="33"/>
  <c r="L91" i="33" s="1"/>
  <c r="K6" i="7" s="1"/>
  <c r="L31" i="1"/>
  <c r="L90" i="33"/>
  <c r="N91" i="33" s="1"/>
  <c r="M6" i="7" s="1"/>
  <c r="M31" i="1"/>
  <c r="M90" i="33"/>
  <c r="C95" i="33" s="1"/>
  <c r="B33" i="7" s="1"/>
  <c r="N31" i="1"/>
  <c r="N90" i="33"/>
  <c r="K31" i="1"/>
  <c r="K90" i="33"/>
  <c r="M91" i="33" s="1"/>
  <c r="L6" i="7" s="1"/>
  <c r="G31" i="1"/>
  <c r="G90" i="33"/>
  <c r="I91" i="33" s="1"/>
  <c r="H6" i="7" s="1"/>
  <c r="F31" i="1"/>
  <c r="F90" i="33"/>
  <c r="H91" i="33" s="1"/>
  <c r="G6" i="7" s="1"/>
  <c r="E31" i="1"/>
  <c r="E90" i="33"/>
  <c r="G91" i="33" s="1"/>
  <c r="F6" i="7" s="1"/>
  <c r="D31" i="1"/>
  <c r="D90" i="33"/>
  <c r="F91" i="33" s="1"/>
  <c r="E6" i="7" s="1"/>
  <c r="H75" i="32"/>
  <c r="I433" i="33" s="1"/>
  <c r="I59" i="32"/>
  <c r="I421" i="33" s="1"/>
  <c r="H19" i="7" s="1"/>
  <c r="F75" i="32"/>
  <c r="G433" i="33" s="1"/>
  <c r="G435" i="33" s="1"/>
  <c r="F48" i="7" s="1"/>
  <c r="E59" i="32"/>
  <c r="E421" i="33" s="1"/>
  <c r="D19" i="7" s="1"/>
  <c r="L59" i="32"/>
  <c r="L421" i="33" s="1"/>
  <c r="K19" i="7" s="1"/>
  <c r="L75" i="32"/>
  <c r="M433" i="33" s="1"/>
  <c r="M435" i="33" s="1"/>
  <c r="L48" i="7" s="1"/>
  <c r="N75" i="32"/>
  <c r="C443" i="33" s="1"/>
  <c r="I75" i="32"/>
  <c r="J433" i="33" s="1"/>
  <c r="J435" i="33" s="1"/>
  <c r="I48" i="7" s="1"/>
  <c r="D59" i="32"/>
  <c r="D421" i="33" s="1"/>
  <c r="C19" i="7" s="1"/>
  <c r="O74" i="32"/>
  <c r="O76" i="32" s="1"/>
  <c r="D75" i="32"/>
  <c r="E433" i="33" s="1"/>
  <c r="E435" i="33" s="1"/>
  <c r="D48" i="7" s="1"/>
  <c r="E388" i="33"/>
  <c r="I388" i="33"/>
  <c r="K388" i="33"/>
  <c r="K390" i="33" s="1"/>
  <c r="O57" i="32"/>
  <c r="O59" i="32" s="1"/>
  <c r="M16" i="33"/>
  <c r="N90" i="32"/>
  <c r="N91" i="32"/>
  <c r="N93" i="32" s="1"/>
  <c r="N441" i="33" s="1"/>
  <c r="M76" i="7" s="1"/>
  <c r="N388" i="33"/>
  <c r="N390" i="33" s="1"/>
  <c r="F388" i="33"/>
  <c r="M388" i="33"/>
  <c r="M390" i="33" s="1"/>
  <c r="O31" i="32"/>
  <c r="K374" i="33" s="1"/>
  <c r="D13" i="33" s="1"/>
  <c r="G12" i="13"/>
  <c r="O40" i="32"/>
  <c r="K396" i="33" s="1"/>
  <c r="L388" i="33"/>
  <c r="O378" i="33"/>
  <c r="O56" i="32"/>
  <c r="C15" i="13" s="1"/>
  <c r="E15" i="13" s="1"/>
  <c r="O73" i="32"/>
  <c r="D15" i="13" s="1"/>
  <c r="G15" i="13" s="1"/>
  <c r="H31" i="1"/>
  <c r="H90" i="33"/>
  <c r="J91" i="33" s="1"/>
  <c r="I6" i="7" s="1"/>
  <c r="P14" i="33"/>
  <c r="I13" i="33"/>
  <c r="I12" i="33"/>
  <c r="J13" i="33"/>
  <c r="J12" i="33"/>
  <c r="C13" i="33"/>
  <c r="C12" i="33"/>
  <c r="G13" i="33"/>
  <c r="G12" i="33"/>
  <c r="K13" i="33"/>
  <c r="K12" i="33"/>
  <c r="E13" i="33"/>
  <c r="E12" i="33"/>
  <c r="M13" i="33"/>
  <c r="M12" i="33"/>
  <c r="F13" i="33"/>
  <c r="F12" i="33"/>
  <c r="N13" i="33"/>
  <c r="N12" i="33"/>
  <c r="D12" i="33"/>
  <c r="H13" i="33"/>
  <c r="H12" i="33"/>
  <c r="L13" i="33"/>
  <c r="L12" i="33"/>
  <c r="M18" i="33"/>
  <c r="F313" i="33"/>
  <c r="F274" i="33"/>
  <c r="G236" i="33"/>
  <c r="C31" i="1"/>
  <c r="C32" i="1" s="1"/>
  <c r="C34" i="33" s="1"/>
  <c r="K31" i="33"/>
  <c r="J95" i="33"/>
  <c r="I33" i="7" s="1"/>
  <c r="M99" i="33"/>
  <c r="L61" i="7" s="1"/>
  <c r="N31" i="33"/>
  <c r="J31" i="33"/>
  <c r="F31" i="33"/>
  <c r="G95" i="33"/>
  <c r="F33" i="7" s="1"/>
  <c r="K95" i="33"/>
  <c r="J33" i="7" s="1"/>
  <c r="C99" i="33"/>
  <c r="B61" i="7" s="1"/>
  <c r="F99" i="33"/>
  <c r="E61" i="7" s="1"/>
  <c r="J99" i="33"/>
  <c r="I61" i="7" s="1"/>
  <c r="N99" i="33"/>
  <c r="M61" i="7" s="1"/>
  <c r="G31" i="33"/>
  <c r="N95" i="33"/>
  <c r="M33" i="7" s="1"/>
  <c r="M31" i="33"/>
  <c r="K91" i="33"/>
  <c r="J6" i="7" s="1"/>
  <c r="I31" i="33"/>
  <c r="E31" i="33"/>
  <c r="H95" i="33"/>
  <c r="G33" i="7" s="1"/>
  <c r="L95" i="33"/>
  <c r="K33" i="7" s="1"/>
  <c r="G99" i="33"/>
  <c r="F61" i="7" s="1"/>
  <c r="K99" i="33"/>
  <c r="J61" i="7" s="1"/>
  <c r="F95" i="33"/>
  <c r="E33" i="7" s="1"/>
  <c r="I99" i="33"/>
  <c r="H61" i="7" s="1"/>
  <c r="L31" i="33"/>
  <c r="H31" i="33"/>
  <c r="D31" i="33"/>
  <c r="I95" i="33"/>
  <c r="H33" i="7" s="1"/>
  <c r="M95" i="33"/>
  <c r="L33" i="7" s="1"/>
  <c r="H99" i="33"/>
  <c r="G61" i="7" s="1"/>
  <c r="L99" i="33"/>
  <c r="K61" i="7" s="1"/>
  <c r="C59" i="32"/>
  <c r="C421" i="33" s="1"/>
  <c r="B19" i="7" s="1"/>
  <c r="C16" i="33"/>
  <c r="E58" i="32"/>
  <c r="E15" i="33"/>
  <c r="L58" i="32"/>
  <c r="L15" i="33"/>
  <c r="N59" i="32"/>
  <c r="N421" i="33" s="1"/>
  <c r="M19" i="7" s="1"/>
  <c r="N16" i="33"/>
  <c r="I58" i="32"/>
  <c r="I15" i="33"/>
  <c r="H59" i="32"/>
  <c r="H421" i="33" s="1"/>
  <c r="G19" i="7" s="1"/>
  <c r="H16" i="33"/>
  <c r="K58" i="32"/>
  <c r="K16" i="33"/>
  <c r="F58" i="32"/>
  <c r="F16" i="33"/>
  <c r="M58" i="32"/>
  <c r="M15" i="33"/>
  <c r="G59" i="32"/>
  <c r="G421" i="33" s="1"/>
  <c r="F19" i="7" s="1"/>
  <c r="G16" i="33"/>
  <c r="D58" i="32"/>
  <c r="D15" i="33"/>
  <c r="J58" i="32"/>
  <c r="J16" i="33"/>
  <c r="H76" i="32"/>
  <c r="H431" i="33" s="1"/>
  <c r="G47" i="7" s="1"/>
  <c r="F76" i="32"/>
  <c r="F431" i="33" s="1"/>
  <c r="E47" i="7" s="1"/>
  <c r="J59" i="32"/>
  <c r="J421" i="33" s="1"/>
  <c r="I19" i="7" s="1"/>
  <c r="F59" i="32"/>
  <c r="F421" i="33" s="1"/>
  <c r="E19" i="7" s="1"/>
  <c r="N76" i="32"/>
  <c r="N431" i="33" s="1"/>
  <c r="M47" i="7" s="1"/>
  <c r="K59" i="32"/>
  <c r="K421" i="33" s="1"/>
  <c r="J19" i="7" s="1"/>
  <c r="N58" i="32"/>
  <c r="C433" i="33" s="1"/>
  <c r="C58" i="32"/>
  <c r="L76" i="32"/>
  <c r="L431" i="33" s="1"/>
  <c r="K47" i="7" s="1"/>
  <c r="D76" i="32"/>
  <c r="D431" i="33" s="1"/>
  <c r="C47" i="7" s="1"/>
  <c r="I76" i="32"/>
  <c r="I431" i="33" s="1"/>
  <c r="H47" i="7" s="1"/>
  <c r="G58" i="32"/>
  <c r="H58" i="32"/>
  <c r="D90" i="32"/>
  <c r="D93" i="32"/>
  <c r="D441" i="33" s="1"/>
  <c r="C76" i="7" s="1"/>
  <c r="H90" i="32"/>
  <c r="H93" i="32"/>
  <c r="H441" i="33" s="1"/>
  <c r="G76" i="7" s="1"/>
  <c r="L90" i="32"/>
  <c r="L93" i="32"/>
  <c r="L441" i="33" s="1"/>
  <c r="K76" i="7" s="1"/>
  <c r="M75" i="32"/>
  <c r="N433" i="33" s="1"/>
  <c r="N435" i="33" s="1"/>
  <c r="M48" i="7" s="1"/>
  <c r="E93" i="32"/>
  <c r="E441" i="33" s="1"/>
  <c r="D76" i="7" s="1"/>
  <c r="E90" i="32"/>
  <c r="I93" i="32"/>
  <c r="I441" i="33" s="1"/>
  <c r="H76" i="7" s="1"/>
  <c r="I90" i="32"/>
  <c r="M93" i="32"/>
  <c r="M441" i="33" s="1"/>
  <c r="L76" i="7" s="1"/>
  <c r="M90" i="32"/>
  <c r="F90" i="32"/>
  <c r="J90" i="32"/>
  <c r="J93" i="32"/>
  <c r="J441" i="33" s="1"/>
  <c r="I76" i="7" s="1"/>
  <c r="K75" i="32"/>
  <c r="L433" i="33" s="1"/>
  <c r="J75" i="32"/>
  <c r="K433" i="33" s="1"/>
  <c r="K435" i="33" s="1"/>
  <c r="J48" i="7" s="1"/>
  <c r="E75" i="32"/>
  <c r="F433" i="33" s="1"/>
  <c r="C90" i="32"/>
  <c r="C93" i="32"/>
  <c r="C441" i="33" s="1"/>
  <c r="G93" i="32"/>
  <c r="G441" i="33" s="1"/>
  <c r="F76" i="7" s="1"/>
  <c r="G90" i="32"/>
  <c r="K93" i="32"/>
  <c r="K441" i="33" s="1"/>
  <c r="J76" i="7" s="1"/>
  <c r="K90" i="32"/>
  <c r="C75" i="32"/>
  <c r="G75" i="32"/>
  <c r="H433" i="33" s="1"/>
  <c r="H435" i="33" s="1"/>
  <c r="G48" i="7" s="1"/>
  <c r="O89" i="32"/>
  <c r="F14" i="13" s="1"/>
  <c r="O21" i="32"/>
  <c r="B25" i="25" s="1"/>
  <c r="F6" i="13"/>
  <c r="C62" i="3"/>
  <c r="E62" i="3"/>
  <c r="G18" i="2"/>
  <c r="G118" i="33" s="1"/>
  <c r="M118" i="33" s="1"/>
  <c r="D62" i="3"/>
  <c r="E120" i="33"/>
  <c r="L120" i="33" s="1"/>
  <c r="G119" i="33"/>
  <c r="M119" i="33" s="1"/>
  <c r="O29" i="1"/>
  <c r="C4" i="13" s="1"/>
  <c r="E4" i="13" s="1"/>
  <c r="O410" i="33" l="1"/>
  <c r="L390" i="33"/>
  <c r="I390" i="33"/>
  <c r="C6" i="13"/>
  <c r="D7" i="37"/>
  <c r="F390" i="33"/>
  <c r="N74" i="7"/>
  <c r="G117" i="33"/>
  <c r="G121" i="33"/>
  <c r="M121" i="33" s="1"/>
  <c r="E121" i="33"/>
  <c r="L121" i="33" s="1"/>
  <c r="L117" i="33"/>
  <c r="C388" i="33"/>
  <c r="O388" i="33" s="1"/>
  <c r="P370" i="33"/>
  <c r="C389" i="33"/>
  <c r="D366" i="33"/>
  <c r="C412" i="33"/>
  <c r="O412" i="33" s="1"/>
  <c r="O411" i="33"/>
  <c r="O31" i="1"/>
  <c r="N45" i="7"/>
  <c r="I18" i="33"/>
  <c r="E18" i="33"/>
  <c r="P437" i="33"/>
  <c r="C37" i="25" s="1"/>
  <c r="L18" i="33"/>
  <c r="D18" i="33"/>
  <c r="O22" i="32"/>
  <c r="K352" i="33" s="1"/>
  <c r="E12" i="13"/>
  <c r="M366" i="33"/>
  <c r="M368" i="33" s="1"/>
  <c r="L18" i="7" s="1"/>
  <c r="H366" i="33"/>
  <c r="H368" i="33" s="1"/>
  <c r="G18" i="7" s="1"/>
  <c r="O91" i="32"/>
  <c r="O93" i="32" s="1"/>
  <c r="I366" i="33"/>
  <c r="N366" i="33"/>
  <c r="N368" i="33" s="1"/>
  <c r="M18" i="7" s="1"/>
  <c r="E366" i="33"/>
  <c r="E368" i="33" s="1"/>
  <c r="D18" i="7" s="1"/>
  <c r="F366" i="33"/>
  <c r="K366" i="33"/>
  <c r="K368" i="33" s="1"/>
  <c r="J18" i="7" s="1"/>
  <c r="I434" i="33"/>
  <c r="I435" i="33" s="1"/>
  <c r="H48" i="7" s="1"/>
  <c r="E390" i="33"/>
  <c r="N47" i="7"/>
  <c r="C444" i="33"/>
  <c r="C445" i="33" s="1"/>
  <c r="B76" i="7"/>
  <c r="O90" i="32"/>
  <c r="F15" i="13" s="1"/>
  <c r="J17" i="33"/>
  <c r="K423" i="33"/>
  <c r="K425" i="33" s="1"/>
  <c r="J20" i="7" s="1"/>
  <c r="F17" i="33"/>
  <c r="G423" i="33"/>
  <c r="G425" i="33" s="1"/>
  <c r="F20" i="7" s="1"/>
  <c r="I424" i="33"/>
  <c r="H17" i="33"/>
  <c r="I423" i="33"/>
  <c r="L434" i="33"/>
  <c r="L435" i="33" s="1"/>
  <c r="K48" i="7" s="1"/>
  <c r="E17" i="33"/>
  <c r="F423" i="33"/>
  <c r="D433" i="33"/>
  <c r="D435" i="33" s="1"/>
  <c r="C48" i="7" s="1"/>
  <c r="O75" i="32"/>
  <c r="F434" i="33"/>
  <c r="F435" i="33" s="1"/>
  <c r="E48" i="7" s="1"/>
  <c r="G17" i="33"/>
  <c r="H423" i="33"/>
  <c r="H425" i="33" s="1"/>
  <c r="G20" i="7" s="1"/>
  <c r="C17" i="33"/>
  <c r="F424" i="33"/>
  <c r="O58" i="32"/>
  <c r="D423" i="33"/>
  <c r="D17" i="33"/>
  <c r="E423" i="33"/>
  <c r="E425" i="33" s="1"/>
  <c r="D20" i="7" s="1"/>
  <c r="M17" i="33"/>
  <c r="N423" i="33"/>
  <c r="N425" i="33" s="1"/>
  <c r="M20" i="7" s="1"/>
  <c r="K17" i="33"/>
  <c r="L423" i="33"/>
  <c r="I17" i="33"/>
  <c r="L424" i="33"/>
  <c r="J423" i="33"/>
  <c r="J425" i="33" s="1"/>
  <c r="I20" i="7" s="1"/>
  <c r="L17" i="33"/>
  <c r="C434" i="33"/>
  <c r="C435" i="33" s="1"/>
  <c r="M423" i="33"/>
  <c r="M425" i="33" s="1"/>
  <c r="L20" i="7" s="1"/>
  <c r="N19" i="7"/>
  <c r="O431" i="33"/>
  <c r="O421" i="33"/>
  <c r="N17" i="33"/>
  <c r="P427" i="33"/>
  <c r="B37" i="25" s="1"/>
  <c r="L366" i="33"/>
  <c r="L367" i="33"/>
  <c r="J366" i="33"/>
  <c r="J368" i="33" s="1"/>
  <c r="I18" i="7" s="1"/>
  <c r="I367" i="33"/>
  <c r="G366" i="33"/>
  <c r="G368" i="33" s="1"/>
  <c r="F18" i="7" s="1"/>
  <c r="F367" i="33"/>
  <c r="O357" i="33"/>
  <c r="P13" i="33"/>
  <c r="P12" i="33"/>
  <c r="K92" i="32"/>
  <c r="L443" i="33" s="1"/>
  <c r="J18" i="33"/>
  <c r="G18" i="33"/>
  <c r="H18" i="33"/>
  <c r="N18" i="33"/>
  <c r="K18" i="33"/>
  <c r="F18" i="33"/>
  <c r="C18" i="33"/>
  <c r="O31" i="33"/>
  <c r="H313" i="33"/>
  <c r="I313" i="33" s="1"/>
  <c r="E314" i="33" s="1"/>
  <c r="G314" i="33" s="1"/>
  <c r="E25" i="7"/>
  <c r="D30" i="1"/>
  <c r="D32" i="1" s="1"/>
  <c r="D104" i="33" s="1"/>
  <c r="D105" i="33" s="1"/>
  <c r="C15" i="7" s="1"/>
  <c r="C104" i="33"/>
  <c r="H274" i="33"/>
  <c r="I274" i="33" s="1"/>
  <c r="E275" i="33" s="1"/>
  <c r="G275" i="33" s="1"/>
  <c r="F236" i="33"/>
  <c r="P99" i="33"/>
  <c r="E14" i="25" s="1"/>
  <c r="E99" i="33"/>
  <c r="D61" i="7" s="1"/>
  <c r="O98" i="33"/>
  <c r="C10" i="33"/>
  <c r="E91" i="33"/>
  <c r="O90" i="33"/>
  <c r="P95" i="33"/>
  <c r="C14" i="25" s="1"/>
  <c r="D99" i="33"/>
  <c r="C61" i="7" s="1"/>
  <c r="P91" i="33"/>
  <c r="B14" i="25" s="1"/>
  <c r="D95" i="33"/>
  <c r="C33" i="7" s="1"/>
  <c r="E95" i="33"/>
  <c r="O94" i="33"/>
  <c r="D6" i="13"/>
  <c r="G6" i="13" s="1"/>
  <c r="G35" i="33"/>
  <c r="K35" i="33"/>
  <c r="C35" i="33"/>
  <c r="C39" i="33" s="1"/>
  <c r="I35" i="33"/>
  <c r="J35" i="33"/>
  <c r="N35" i="33"/>
  <c r="D35" i="33"/>
  <c r="H35" i="33"/>
  <c r="L35" i="33"/>
  <c r="E35" i="33"/>
  <c r="M35" i="33"/>
  <c r="F35" i="33"/>
  <c r="P7" i="33"/>
  <c r="P15" i="33"/>
  <c r="P16" i="33"/>
  <c r="G92" i="32"/>
  <c r="H443" i="33" s="1"/>
  <c r="H445" i="33" s="1"/>
  <c r="G77" i="7" s="1"/>
  <c r="M92" i="32"/>
  <c r="N443" i="33" s="1"/>
  <c r="N445" i="33" s="1"/>
  <c r="M77" i="7" s="1"/>
  <c r="E92" i="32"/>
  <c r="F443" i="33" s="1"/>
  <c r="N92" i="32"/>
  <c r="I92" i="32"/>
  <c r="H92" i="32"/>
  <c r="I443" i="33" s="1"/>
  <c r="J92" i="32"/>
  <c r="K443" i="33" s="1"/>
  <c r="K445" i="33" s="1"/>
  <c r="J77" i="7" s="1"/>
  <c r="L92" i="32"/>
  <c r="M443" i="33" s="1"/>
  <c r="M445" i="33" s="1"/>
  <c r="L77" i="7" s="1"/>
  <c r="C92" i="32"/>
  <c r="F92" i="32"/>
  <c r="F93" i="32"/>
  <c r="F441" i="33" s="1"/>
  <c r="E76" i="7" s="1"/>
  <c r="D92" i="32"/>
  <c r="E443" i="33" s="1"/>
  <c r="E445" i="33" s="1"/>
  <c r="D77" i="7" s="1"/>
  <c r="G120" i="33"/>
  <c r="M120" i="33" s="1"/>
  <c r="E122" i="33"/>
  <c r="L122" i="33" s="1"/>
  <c r="E6" i="13" l="1"/>
  <c r="F7" i="37"/>
  <c r="I425" i="33"/>
  <c r="H20" i="7" s="1"/>
  <c r="M117" i="33"/>
  <c r="L425" i="33"/>
  <c r="K20" i="7" s="1"/>
  <c r="N76" i="7"/>
  <c r="F368" i="33"/>
  <c r="E18" i="7" s="1"/>
  <c r="O441" i="33"/>
  <c r="C390" i="33"/>
  <c r="O390" i="33" s="1"/>
  <c r="O389" i="33"/>
  <c r="P447" i="33"/>
  <c r="E37" i="25" s="1"/>
  <c r="F425" i="33"/>
  <c r="E20" i="7" s="1"/>
  <c r="D34" i="33"/>
  <c r="D39" i="33" s="1"/>
  <c r="D10" i="33"/>
  <c r="E30" i="1"/>
  <c r="E32" i="1" s="1"/>
  <c r="E104" i="33" s="1"/>
  <c r="E105" i="33" s="1"/>
  <c r="D15" i="7" s="1"/>
  <c r="N17" i="7"/>
  <c r="F37" i="25"/>
  <c r="D37" i="25"/>
  <c r="I368" i="33"/>
  <c r="H18" i="7" s="1"/>
  <c r="O434" i="33"/>
  <c r="O433" i="33"/>
  <c r="P17" i="33"/>
  <c r="D14" i="25"/>
  <c r="O424" i="33"/>
  <c r="B48" i="7"/>
  <c r="N48" i="7" s="1"/>
  <c r="O435" i="33"/>
  <c r="G443" i="33"/>
  <c r="G445" i="33" s="1"/>
  <c r="F77" i="7" s="1"/>
  <c r="I444" i="33"/>
  <c r="I445" i="33" s="1"/>
  <c r="H77" i="7" s="1"/>
  <c r="D443" i="33"/>
  <c r="F444" i="33"/>
  <c r="F445" i="33" s="1"/>
  <c r="E77" i="7" s="1"/>
  <c r="O92" i="32"/>
  <c r="L444" i="33"/>
  <c r="L445" i="33" s="1"/>
  <c r="K77" i="7" s="1"/>
  <c r="J443" i="33"/>
  <c r="J445" i="33" s="1"/>
  <c r="I77" i="7" s="1"/>
  <c r="D425" i="33"/>
  <c r="O423" i="33"/>
  <c r="B77" i="7"/>
  <c r="F14" i="25"/>
  <c r="L368" i="33"/>
  <c r="K18" i="7" s="1"/>
  <c r="O367" i="33"/>
  <c r="D368" i="33"/>
  <c r="C18" i="7" s="1"/>
  <c r="O366" i="33"/>
  <c r="P18" i="33"/>
  <c r="F314" i="33"/>
  <c r="H314" i="33" s="1"/>
  <c r="I314" i="33" s="1"/>
  <c r="E315" i="33" s="1"/>
  <c r="G315" i="33" s="1"/>
  <c r="O95" i="33"/>
  <c r="D33" i="7"/>
  <c r="O35" i="33"/>
  <c r="H236" i="33"/>
  <c r="I236" i="33" s="1"/>
  <c r="E237" i="33" s="1"/>
  <c r="G237" i="33" s="1"/>
  <c r="N61" i="7"/>
  <c r="O91" i="33"/>
  <c r="D6" i="7"/>
  <c r="F275" i="33"/>
  <c r="H275" i="33" s="1"/>
  <c r="I275" i="33" s="1"/>
  <c r="E276" i="33" s="1"/>
  <c r="G276" i="33" s="1"/>
  <c r="O99" i="33"/>
  <c r="C105" i="33"/>
  <c r="B15" i="7" s="1"/>
  <c r="B27" i="7" s="1"/>
  <c r="G122" i="33"/>
  <c r="M122" i="33" s="1"/>
  <c r="E123" i="33"/>
  <c r="N18" i="7" l="1"/>
  <c r="L123" i="33"/>
  <c r="E41" i="33"/>
  <c r="E45" i="33" s="1"/>
  <c r="E34" i="33"/>
  <c r="E39" i="33" s="1"/>
  <c r="F30" i="1"/>
  <c r="F32" i="1" s="1"/>
  <c r="F104" i="33" s="1"/>
  <c r="F105" i="33" s="1"/>
  <c r="E15" i="7" s="1"/>
  <c r="E10" i="33"/>
  <c r="O444" i="33"/>
  <c r="C20" i="7"/>
  <c r="N20" i="7" s="1"/>
  <c r="O425" i="33"/>
  <c r="D445" i="33"/>
  <c r="O443" i="33"/>
  <c r="O368" i="33"/>
  <c r="F315" i="33"/>
  <c r="H315" i="33" s="1"/>
  <c r="I315" i="33" s="1"/>
  <c r="E316" i="33" s="1"/>
  <c r="G316" i="33" s="1"/>
  <c r="N6" i="7"/>
  <c r="F25" i="7"/>
  <c r="D41" i="33"/>
  <c r="D45" i="33" s="1"/>
  <c r="C10" i="7" s="1"/>
  <c r="N33" i="7"/>
  <c r="F276" i="33"/>
  <c r="H276" i="33" s="1"/>
  <c r="I276" i="33" s="1"/>
  <c r="E277" i="33" s="1"/>
  <c r="G277" i="33" s="1"/>
  <c r="F237" i="33"/>
  <c r="H237" i="33" s="1"/>
  <c r="I237" i="33" s="1"/>
  <c r="E238" i="33" s="1"/>
  <c r="E124" i="33"/>
  <c r="L124" i="33" s="1"/>
  <c r="F34" i="33" l="1"/>
  <c r="F39" i="33" s="1"/>
  <c r="G41" i="33" s="1"/>
  <c r="G45" i="33" s="1"/>
  <c r="F10" i="7" s="1"/>
  <c r="G123" i="33"/>
  <c r="D10" i="7"/>
  <c r="D12" i="7" s="1"/>
  <c r="D21" i="7"/>
  <c r="D27" i="7" s="1"/>
  <c r="F41" i="33"/>
  <c r="F45" i="33" s="1"/>
  <c r="F10" i="33"/>
  <c r="G30" i="1"/>
  <c r="G32" i="1" s="1"/>
  <c r="G104" i="33" s="1"/>
  <c r="C77" i="7"/>
  <c r="N77" i="7" s="1"/>
  <c r="O445" i="33"/>
  <c r="F316" i="33"/>
  <c r="H316" i="33" s="1"/>
  <c r="I316" i="33" s="1"/>
  <c r="E317" i="33" s="1"/>
  <c r="G317" i="33" s="1"/>
  <c r="C21" i="7"/>
  <c r="G25" i="7"/>
  <c r="B28" i="7"/>
  <c r="B29" i="7"/>
  <c r="C636" i="33" s="1"/>
  <c r="F277" i="33"/>
  <c r="G238" i="33"/>
  <c r="G124" i="33"/>
  <c r="M124" i="33" s="1"/>
  <c r="E125" i="33"/>
  <c r="F42" i="33" l="1"/>
  <c r="M123" i="33"/>
  <c r="L125" i="33"/>
  <c r="D28" i="7"/>
  <c r="E10" i="7"/>
  <c r="E12" i="7" s="1"/>
  <c r="E21" i="7"/>
  <c r="E27" i="7" s="1"/>
  <c r="G10" i="33"/>
  <c r="G34" i="33"/>
  <c r="G39" i="33" s="1"/>
  <c r="H30" i="1"/>
  <c r="H32" i="1" s="1"/>
  <c r="H34" i="33" s="1"/>
  <c r="H39" i="33" s="1"/>
  <c r="C27" i="7"/>
  <c r="F12" i="7"/>
  <c r="F21" i="7"/>
  <c r="C12" i="7"/>
  <c r="F317" i="33"/>
  <c r="H277" i="33"/>
  <c r="I277" i="33" s="1"/>
  <c r="E278" i="33" s="1"/>
  <c r="G278" i="33" s="1"/>
  <c r="F238" i="33"/>
  <c r="G105" i="33"/>
  <c r="F15" i="7" s="1"/>
  <c r="E126" i="33"/>
  <c r="L126" i="33" s="1"/>
  <c r="H104" i="33" l="1"/>
  <c r="H105" i="33" s="1"/>
  <c r="G15" i="7" s="1"/>
  <c r="G125" i="33"/>
  <c r="E28" i="7"/>
  <c r="H41" i="33"/>
  <c r="H45" i="33" s="1"/>
  <c r="H10" i="33"/>
  <c r="I30" i="1"/>
  <c r="I32" i="1" s="1"/>
  <c r="D11" i="25"/>
  <c r="C29" i="7"/>
  <c r="C28" i="7"/>
  <c r="H238" i="33"/>
  <c r="I238" i="33" s="1"/>
  <c r="E239" i="33" s="1"/>
  <c r="G239" i="33" s="1"/>
  <c r="H25" i="7"/>
  <c r="F27" i="7"/>
  <c r="H317" i="33"/>
  <c r="I317" i="33" s="1"/>
  <c r="E318" i="33" s="1"/>
  <c r="G318" i="33" s="1"/>
  <c r="F278" i="33"/>
  <c r="G126" i="33"/>
  <c r="M126" i="33" s="1"/>
  <c r="E127" i="33"/>
  <c r="L127" i="33" s="1"/>
  <c r="D29" i="7" l="1"/>
  <c r="D636" i="33"/>
  <c r="M125" i="33"/>
  <c r="I42" i="33"/>
  <c r="G10" i="7"/>
  <c r="G12" i="7" s="1"/>
  <c r="G21" i="7"/>
  <c r="G27" i="7" s="1"/>
  <c r="I104" i="33"/>
  <c r="I41" i="33"/>
  <c r="I45" i="33" s="1"/>
  <c r="H10" i="7" s="1"/>
  <c r="F28" i="7"/>
  <c r="H278" i="33"/>
  <c r="I278" i="33" s="1"/>
  <c r="E279" i="33" s="1"/>
  <c r="G279" i="33" s="1"/>
  <c r="F318" i="33"/>
  <c r="H318" i="33" s="1"/>
  <c r="I318" i="33" s="1"/>
  <c r="E319" i="33" s="1"/>
  <c r="G319" i="33" s="1"/>
  <c r="F239" i="33"/>
  <c r="H239" i="33" s="1"/>
  <c r="I239" i="33" s="1"/>
  <c r="E240" i="33" s="1"/>
  <c r="J30" i="1"/>
  <c r="J32" i="1" s="1"/>
  <c r="J104" i="33" s="1"/>
  <c r="I10" i="33"/>
  <c r="I34" i="33"/>
  <c r="I39" i="33" s="1"/>
  <c r="F11" i="25"/>
  <c r="G127" i="33"/>
  <c r="M127" i="33" s="1"/>
  <c r="E29" i="7" l="1"/>
  <c r="E636" i="33"/>
  <c r="G28" i="7"/>
  <c r="H21" i="7"/>
  <c r="F279" i="33"/>
  <c r="H279" i="33" s="1"/>
  <c r="I279" i="33" s="1"/>
  <c r="E280" i="33" s="1"/>
  <c r="G280" i="33" s="1"/>
  <c r="I25" i="7"/>
  <c r="G240" i="33"/>
  <c r="K30" i="1"/>
  <c r="K32" i="1" s="1"/>
  <c r="K104" i="33" s="1"/>
  <c r="J10" i="33"/>
  <c r="J105" i="33"/>
  <c r="I15" i="7" s="1"/>
  <c r="J34" i="33"/>
  <c r="J39" i="33" s="1"/>
  <c r="I105" i="33"/>
  <c r="H15" i="7" s="1"/>
  <c r="J41" i="33"/>
  <c r="J45" i="33" s="1"/>
  <c r="I10" i="7" s="1"/>
  <c r="E128" i="33"/>
  <c r="L128" i="33" s="1"/>
  <c r="F636" i="33" l="1"/>
  <c r="F29" i="7"/>
  <c r="H12" i="7"/>
  <c r="I12" i="7"/>
  <c r="I21" i="7"/>
  <c r="I27" i="7" s="1"/>
  <c r="H27" i="7"/>
  <c r="F319" i="33"/>
  <c r="F280" i="33"/>
  <c r="H280" i="33" s="1"/>
  <c r="I280" i="33" s="1"/>
  <c r="E281" i="33" s="1"/>
  <c r="G281" i="33" s="1"/>
  <c r="F240" i="33"/>
  <c r="L30" i="1"/>
  <c r="L32" i="1" s="1"/>
  <c r="L104" i="33" s="1"/>
  <c r="K10" i="33"/>
  <c r="K105" i="33"/>
  <c r="J15" i="7" s="1"/>
  <c r="K34" i="33"/>
  <c r="K39" i="33" s="1"/>
  <c r="K41" i="33"/>
  <c r="K45" i="33" s="1"/>
  <c r="J10" i="7" s="1"/>
  <c r="E129" i="33"/>
  <c r="L129" i="33" s="1"/>
  <c r="G128" i="33"/>
  <c r="G636" i="33" l="1"/>
  <c r="G29" i="7"/>
  <c r="H636" i="33" s="1"/>
  <c r="M128" i="33"/>
  <c r="I28" i="7"/>
  <c r="J12" i="7"/>
  <c r="J21" i="7"/>
  <c r="L41" i="33"/>
  <c r="L45" i="33" s="1"/>
  <c r="K10" i="7" s="1"/>
  <c r="H240" i="33"/>
  <c r="I240" i="33" s="1"/>
  <c r="E241" i="33" s="1"/>
  <c r="G241" i="33" s="1"/>
  <c r="J25" i="7"/>
  <c r="H28" i="7"/>
  <c r="H319" i="33"/>
  <c r="I319" i="33" s="1"/>
  <c r="E320" i="33" s="1"/>
  <c r="G320" i="33" s="1"/>
  <c r="F281" i="33"/>
  <c r="H281" i="33" s="1"/>
  <c r="I281" i="33" s="1"/>
  <c r="E282" i="33" s="1"/>
  <c r="G282" i="33" s="1"/>
  <c r="M30" i="1"/>
  <c r="M32" i="1" s="1"/>
  <c r="M104" i="33" s="1"/>
  <c r="L34" i="33"/>
  <c r="L39" i="33" s="1"/>
  <c r="L10" i="33"/>
  <c r="L105" i="33"/>
  <c r="K15" i="7" s="1"/>
  <c r="G129" i="33"/>
  <c r="M129" i="33" s="1"/>
  <c r="E130" i="33"/>
  <c r="L130" i="33" s="1"/>
  <c r="H29" i="7" l="1"/>
  <c r="I29" i="7" s="1"/>
  <c r="J636" i="33" s="1"/>
  <c r="J27" i="7"/>
  <c r="K21" i="7"/>
  <c r="L42" i="33"/>
  <c r="O42" i="33" s="1"/>
  <c r="F320" i="33"/>
  <c r="H320" i="33" s="1"/>
  <c r="I320" i="33" s="1"/>
  <c r="E321" i="33" s="1"/>
  <c r="G321" i="33" s="1"/>
  <c r="F282" i="33"/>
  <c r="H282" i="33" s="1"/>
  <c r="I282" i="33" s="1"/>
  <c r="E283" i="33" s="1"/>
  <c r="G283" i="33" s="1"/>
  <c r="F241" i="33"/>
  <c r="N30" i="1"/>
  <c r="M34" i="33"/>
  <c r="M39" i="33" s="1"/>
  <c r="M10" i="33"/>
  <c r="M105" i="33"/>
  <c r="L15" i="7" s="1"/>
  <c r="M41" i="33"/>
  <c r="M45" i="33" s="1"/>
  <c r="L10" i="7" s="1"/>
  <c r="G130" i="33"/>
  <c r="M130" i="33" s="1"/>
  <c r="E131" i="33"/>
  <c r="L131" i="33" s="1"/>
  <c r="D181" i="33" s="1"/>
  <c r="D209" i="33" s="1"/>
  <c r="I636" i="33" l="1"/>
  <c r="J29" i="7"/>
  <c r="K636" i="33" s="1"/>
  <c r="J28" i="7"/>
  <c r="L12" i="7"/>
  <c r="L21" i="7"/>
  <c r="K12" i="7"/>
  <c r="F321" i="33"/>
  <c r="H321" i="33" s="1"/>
  <c r="I321" i="33" s="1"/>
  <c r="E322" i="33" s="1"/>
  <c r="G322" i="33" s="1"/>
  <c r="H241" i="33"/>
  <c r="I241" i="33" s="1"/>
  <c r="E242" i="33" s="1"/>
  <c r="G242" i="33" s="1"/>
  <c r="K25" i="7"/>
  <c r="K27" i="7" s="1"/>
  <c r="F283" i="33"/>
  <c r="H283" i="33" s="1"/>
  <c r="I283" i="33" s="1"/>
  <c r="E284" i="33" s="1"/>
  <c r="G284" i="33" s="1"/>
  <c r="M290" i="33"/>
  <c r="N41" i="33"/>
  <c r="N45" i="33" s="1"/>
  <c r="M10" i="7" s="1"/>
  <c r="N32" i="1"/>
  <c r="O32" i="1" s="1"/>
  <c r="G131" i="33"/>
  <c r="M131" i="33" s="1"/>
  <c r="E181" i="33" s="1"/>
  <c r="D222" i="33" s="1"/>
  <c r="N33" i="1" l="1"/>
  <c r="K29" i="7"/>
  <c r="L636" i="33" s="1"/>
  <c r="M21" i="7"/>
  <c r="N21" i="7" s="1"/>
  <c r="K28" i="7"/>
  <c r="C61" i="33"/>
  <c r="O41" i="33"/>
  <c r="O45" i="33" s="1"/>
  <c r="M329" i="33"/>
  <c r="C7" i="13"/>
  <c r="N104" i="33"/>
  <c r="F322" i="33"/>
  <c r="H322" i="33" s="1"/>
  <c r="I322" i="33" s="1"/>
  <c r="E323" i="33" s="1"/>
  <c r="G323" i="33" s="1"/>
  <c r="F284" i="33"/>
  <c r="F242" i="33"/>
  <c r="N34" i="33"/>
  <c r="N39" i="33" s="1"/>
  <c r="N10" i="33"/>
  <c r="P10" i="33" s="1"/>
  <c r="E132" i="33"/>
  <c r="L132" i="33" s="1"/>
  <c r="D182" i="33" s="1"/>
  <c r="E209" i="33" s="1"/>
  <c r="C60" i="33" l="1"/>
  <c r="C64" i="33" s="1"/>
  <c r="O33" i="1"/>
  <c r="C48" i="1"/>
  <c r="M12" i="7"/>
  <c r="N12" i="7" s="1"/>
  <c r="N10" i="7"/>
  <c r="H242" i="33"/>
  <c r="I242" i="33" s="1"/>
  <c r="E243" i="33" s="1"/>
  <c r="G243" i="33" s="1"/>
  <c r="N337" i="33" s="1"/>
  <c r="C21" i="13" s="1"/>
  <c r="E21" i="13" s="1"/>
  <c r="L25" i="7"/>
  <c r="L27" i="7" s="1"/>
  <c r="O39" i="33"/>
  <c r="O34" i="33"/>
  <c r="H284" i="33"/>
  <c r="I284" i="33" s="1"/>
  <c r="E285" i="33" s="1"/>
  <c r="G285" i="33" s="1"/>
  <c r="N105" i="33"/>
  <c r="O104" i="33"/>
  <c r="G132" i="33"/>
  <c r="M132" i="33" s="1"/>
  <c r="E182" i="33" s="1"/>
  <c r="E222" i="33" s="1"/>
  <c r="E133" i="33"/>
  <c r="L133" i="33" s="1"/>
  <c r="D183" i="33" s="1"/>
  <c r="N210" i="33" l="1"/>
  <c r="O210" i="33" s="1"/>
  <c r="B38" i="7"/>
  <c r="B49" i="7"/>
  <c r="C50" i="1"/>
  <c r="C53" i="33" s="1"/>
  <c r="P43" i="33"/>
  <c r="P41" i="33"/>
  <c r="O105" i="33"/>
  <c r="M15" i="7"/>
  <c r="P42" i="33"/>
  <c r="L28" i="7"/>
  <c r="L29" i="7"/>
  <c r="M636" i="33" s="1"/>
  <c r="F323" i="33"/>
  <c r="F285" i="33"/>
  <c r="H285" i="33" s="1"/>
  <c r="I285" i="33" s="1"/>
  <c r="F243" i="33"/>
  <c r="N9" i="33"/>
  <c r="P9" i="33" s="1"/>
  <c r="O34" i="1"/>
  <c r="C8" i="13" s="1"/>
  <c r="O358" i="33" s="1"/>
  <c r="K351" i="33" s="1"/>
  <c r="B13" i="25"/>
  <c r="G133" i="33"/>
  <c r="M133" i="33" s="1"/>
  <c r="E183" i="33" s="1"/>
  <c r="N223" i="33" l="1"/>
  <c r="D48" i="1"/>
  <c r="D50" i="1" s="1"/>
  <c r="C108" i="33"/>
  <c r="P46" i="33"/>
  <c r="H323" i="33"/>
  <c r="I323" i="33" s="1"/>
  <c r="E324" i="33" s="1"/>
  <c r="G324" i="33" s="1"/>
  <c r="H243" i="33"/>
  <c r="I243" i="33" s="1"/>
  <c r="E244" i="33" s="1"/>
  <c r="G244" i="33" s="1"/>
  <c r="M25" i="7"/>
  <c r="N25" i="7" s="1"/>
  <c r="N15" i="7"/>
  <c r="E286" i="33"/>
  <c r="G286" i="33" s="1"/>
  <c r="O35" i="1"/>
  <c r="B15" i="25" l="1"/>
  <c r="C109" i="33"/>
  <c r="E48" i="1"/>
  <c r="E50" i="1" s="1"/>
  <c r="D53" i="33"/>
  <c r="D108" i="33"/>
  <c r="D109" i="33" s="1"/>
  <c r="C43" i="7" s="1"/>
  <c r="F324" i="33"/>
  <c r="H324" i="33" s="1"/>
  <c r="I324" i="33" s="1"/>
  <c r="E325" i="33" s="1"/>
  <c r="G325" i="33" s="1"/>
  <c r="M251" i="33"/>
  <c r="N341" i="33" s="1"/>
  <c r="B30" i="25" s="1"/>
  <c r="M27" i="7"/>
  <c r="F286" i="33"/>
  <c r="H286" i="33" s="1"/>
  <c r="I286" i="33" s="1"/>
  <c r="E287" i="33" s="1"/>
  <c r="G287" i="33" s="1"/>
  <c r="F244" i="33"/>
  <c r="C9" i="13"/>
  <c r="E108" i="33" l="1"/>
  <c r="E109" i="33" s="1"/>
  <c r="D43" i="7" s="1"/>
  <c r="F48" i="1"/>
  <c r="F50" i="1" s="1"/>
  <c r="E53" i="33"/>
  <c r="B43" i="7"/>
  <c r="F325" i="33"/>
  <c r="H325" i="33" s="1"/>
  <c r="I325" i="33" s="1"/>
  <c r="E326" i="33" s="1"/>
  <c r="G326" i="33" s="1"/>
  <c r="H244" i="33"/>
  <c r="I244" i="33" s="1"/>
  <c r="E245" i="33" s="1"/>
  <c r="G245" i="33" s="1"/>
  <c r="B53" i="7"/>
  <c r="M28" i="7"/>
  <c r="N27" i="7"/>
  <c r="M29" i="7"/>
  <c r="F287" i="33"/>
  <c r="H287" i="33" s="1"/>
  <c r="I287" i="33" s="1"/>
  <c r="E288" i="33" s="1"/>
  <c r="G288" i="33" s="1"/>
  <c r="N636" i="33" l="1"/>
  <c r="D10" i="37"/>
  <c r="F53" i="33"/>
  <c r="F108" i="33"/>
  <c r="G48" i="1"/>
  <c r="G50" i="1" s="1"/>
  <c r="F326" i="33"/>
  <c r="H326" i="33" s="1"/>
  <c r="I326" i="33" s="1"/>
  <c r="E327" i="33" s="1"/>
  <c r="G327" i="33" s="1"/>
  <c r="F288" i="33"/>
  <c r="H288" i="33" s="1"/>
  <c r="I288" i="33" s="1"/>
  <c r="E289" i="33" s="1"/>
  <c r="G289" i="33" s="1"/>
  <c r="B18" i="25"/>
  <c r="F245" i="33"/>
  <c r="E134" i="33"/>
  <c r="L134" i="33" s="1"/>
  <c r="D185" i="33" s="1"/>
  <c r="D223" i="33" s="1"/>
  <c r="D15" i="37" l="1"/>
  <c r="G53" i="33"/>
  <c r="G108" i="33"/>
  <c r="G109" i="33" s="1"/>
  <c r="F43" i="7" s="1"/>
  <c r="H48" i="1"/>
  <c r="H50" i="1" s="1"/>
  <c r="F109" i="33"/>
  <c r="F327" i="33"/>
  <c r="H327" i="33" s="1"/>
  <c r="I327" i="33" s="1"/>
  <c r="E328" i="33" s="1"/>
  <c r="G328" i="33" s="1"/>
  <c r="H245" i="33"/>
  <c r="I245" i="33" s="1"/>
  <c r="E246" i="33" s="1"/>
  <c r="G246" i="33" s="1"/>
  <c r="C53" i="7"/>
  <c r="F289" i="33"/>
  <c r="G134" i="33"/>
  <c r="M134" i="33" s="1"/>
  <c r="E185" i="33" s="1"/>
  <c r="E135" i="33"/>
  <c r="L135" i="33" s="1"/>
  <c r="D184" i="33" s="1"/>
  <c r="P210" i="33" l="1"/>
  <c r="C223" i="33"/>
  <c r="O223" i="33" s="1"/>
  <c r="N205" i="33"/>
  <c r="O205" i="33" s="1"/>
  <c r="E43" i="7"/>
  <c r="H53" i="33"/>
  <c r="H108" i="33"/>
  <c r="H109" i="33" s="1"/>
  <c r="G43" i="7" s="1"/>
  <c r="I48" i="1"/>
  <c r="I50" i="1" s="1"/>
  <c r="F328" i="33"/>
  <c r="H328" i="33" s="1"/>
  <c r="I328" i="33" s="1"/>
  <c r="E329" i="33" s="1"/>
  <c r="G329" i="33" s="1"/>
  <c r="H289" i="33"/>
  <c r="I289" i="33" s="1"/>
  <c r="E290" i="33" s="1"/>
  <c r="G290" i="33" s="1"/>
  <c r="F246" i="33"/>
  <c r="E136" i="33"/>
  <c r="L136" i="33" s="1"/>
  <c r="G135" i="33"/>
  <c r="M135" i="33" s="1"/>
  <c r="E184" i="33" s="1"/>
  <c r="P223" i="33" s="1"/>
  <c r="N218" i="33" l="1"/>
  <c r="O218" i="33" s="1"/>
  <c r="I53" i="33"/>
  <c r="I108" i="33"/>
  <c r="I109" i="33" s="1"/>
  <c r="H43" i="7" s="1"/>
  <c r="J48" i="1"/>
  <c r="J50" i="1" s="1"/>
  <c r="H246" i="33"/>
  <c r="I246" i="33" s="1"/>
  <c r="E247" i="33" s="1"/>
  <c r="G247" i="33" s="1"/>
  <c r="D53" i="7"/>
  <c r="F329" i="33"/>
  <c r="F290" i="33"/>
  <c r="H290" i="33" s="1"/>
  <c r="I290" i="33" s="1"/>
  <c r="E291" i="33" s="1"/>
  <c r="G291" i="33" s="1"/>
  <c r="G136" i="33"/>
  <c r="M136" i="33" s="1"/>
  <c r="E137" i="33"/>
  <c r="L137" i="33" s="1"/>
  <c r="K48" i="1" l="1"/>
  <c r="K50" i="1" s="1"/>
  <c r="J53" i="33"/>
  <c r="J108" i="33"/>
  <c r="J109" i="33" s="1"/>
  <c r="I43" i="7" s="1"/>
  <c r="H329" i="33"/>
  <c r="I329" i="33" s="1"/>
  <c r="E330" i="33" s="1"/>
  <c r="G330" i="33" s="1"/>
  <c r="F291" i="33"/>
  <c r="H291" i="33" s="1"/>
  <c r="I291" i="33" s="1"/>
  <c r="E292" i="33" s="1"/>
  <c r="G292" i="33" s="1"/>
  <c r="F247" i="33"/>
  <c r="E138" i="33"/>
  <c r="L138" i="33" s="1"/>
  <c r="G137" i="33"/>
  <c r="M137" i="33" s="1"/>
  <c r="K108" i="33" l="1"/>
  <c r="K109" i="33" s="1"/>
  <c r="J43" i="7" s="1"/>
  <c r="L48" i="1"/>
  <c r="L50" i="1" s="1"/>
  <c r="K53" i="33"/>
  <c r="H247" i="33"/>
  <c r="I247" i="33" s="1"/>
  <c r="E248" i="33" s="1"/>
  <c r="G248" i="33" s="1"/>
  <c r="E53" i="7"/>
  <c r="F330" i="33"/>
  <c r="H330" i="33" s="1"/>
  <c r="I330" i="33" s="1"/>
  <c r="E331" i="33" s="1"/>
  <c r="G331" i="33" s="1"/>
  <c r="F292" i="33"/>
  <c r="G138" i="33"/>
  <c r="M138" i="33" s="1"/>
  <c r="E139" i="33"/>
  <c r="L139" i="33" s="1"/>
  <c r="M48" i="1" l="1"/>
  <c r="M50" i="1" s="1"/>
  <c r="L53" i="33"/>
  <c r="L108" i="33"/>
  <c r="L109" i="33" s="1"/>
  <c r="K43" i="7" s="1"/>
  <c r="F331" i="33"/>
  <c r="H292" i="33"/>
  <c r="I292" i="33" s="1"/>
  <c r="E293" i="33" s="1"/>
  <c r="G293" i="33" s="1"/>
  <c r="F248" i="33"/>
  <c r="G139" i="33"/>
  <c r="M139" i="33" s="1"/>
  <c r="E140" i="33"/>
  <c r="L140" i="33" s="1"/>
  <c r="M108" i="33" l="1"/>
  <c r="M109" i="33" s="1"/>
  <c r="L43" i="7" s="1"/>
  <c r="N48" i="1"/>
  <c r="M53" i="33"/>
  <c r="H248" i="33"/>
  <c r="I248" i="33" s="1"/>
  <c r="E249" i="33" s="1"/>
  <c r="G249" i="33" s="1"/>
  <c r="F53" i="7"/>
  <c r="H331" i="33"/>
  <c r="I331" i="33" s="1"/>
  <c r="E332" i="33" s="1"/>
  <c r="G332" i="33" s="1"/>
  <c r="F293" i="33"/>
  <c r="C22" i="13"/>
  <c r="E22" i="13" s="1"/>
  <c r="G140" i="33"/>
  <c r="M140" i="33" s="1"/>
  <c r="E141" i="33"/>
  <c r="L141" i="33" s="1"/>
  <c r="N50" i="1" l="1"/>
  <c r="N51" i="1" s="1"/>
  <c r="F332" i="33"/>
  <c r="H332" i="33" s="1"/>
  <c r="I332" i="33" s="1"/>
  <c r="E333" i="33" s="1"/>
  <c r="G333" i="33" s="1"/>
  <c r="H293" i="33"/>
  <c r="I293" i="33" s="1"/>
  <c r="E294" i="33" s="1"/>
  <c r="G294" i="33" s="1"/>
  <c r="F249" i="33"/>
  <c r="E142" i="33"/>
  <c r="L142" i="33" s="1"/>
  <c r="G141" i="33"/>
  <c r="M141" i="33" s="1"/>
  <c r="C13" i="25" l="1"/>
  <c r="O51" i="1"/>
  <c r="O52" i="1" s="1"/>
  <c r="D8" i="13" s="1"/>
  <c r="C66" i="1"/>
  <c r="N53" i="33"/>
  <c r="N108" i="33"/>
  <c r="O50" i="1"/>
  <c r="H249" i="33"/>
  <c r="I249" i="33" s="1"/>
  <c r="E250" i="33" s="1"/>
  <c r="G250" i="33" s="1"/>
  <c r="G53" i="7"/>
  <c r="F333" i="33"/>
  <c r="G142" i="33"/>
  <c r="M142" i="33" s="1"/>
  <c r="E143" i="33"/>
  <c r="L143" i="33" s="1"/>
  <c r="E8" i="13" l="1"/>
  <c r="C68" i="1"/>
  <c r="O53" i="1"/>
  <c r="O53" i="33"/>
  <c r="D7" i="13"/>
  <c r="O379" i="33" s="1"/>
  <c r="K373" i="33" s="1"/>
  <c r="N109" i="33"/>
  <c r="O108" i="33"/>
  <c r="D13" i="25"/>
  <c r="H333" i="33"/>
  <c r="I333" i="33" s="1"/>
  <c r="M330" i="33" s="1"/>
  <c r="F294" i="33"/>
  <c r="H294" i="33" s="1"/>
  <c r="I294" i="33" s="1"/>
  <c r="F250" i="33"/>
  <c r="G143" i="33"/>
  <c r="M143" i="33" s="1"/>
  <c r="E144" i="33"/>
  <c r="L144" i="33" s="1"/>
  <c r="D395" i="33" l="1"/>
  <c r="D13" i="13"/>
  <c r="G7" i="13"/>
  <c r="E7" i="13"/>
  <c r="M43" i="7"/>
  <c r="N43" i="7" s="1"/>
  <c r="O109" i="33"/>
  <c r="C72" i="33"/>
  <c r="C112" i="33"/>
  <c r="D66" i="1"/>
  <c r="D68" i="1" s="1"/>
  <c r="D9" i="13"/>
  <c r="E334" i="33"/>
  <c r="G334" i="33" s="1"/>
  <c r="H250" i="33"/>
  <c r="I250" i="33" s="1"/>
  <c r="E251" i="33" s="1"/>
  <c r="G251" i="33" s="1"/>
  <c r="H53" i="7"/>
  <c r="M291" i="33"/>
  <c r="E295" i="33"/>
  <c r="G295" i="33" s="1"/>
  <c r="G144" i="33"/>
  <c r="M144" i="33" s="1"/>
  <c r="E9" i="13" l="1"/>
  <c r="C113" i="33"/>
  <c r="D112" i="33"/>
  <c r="D113" i="33" s="1"/>
  <c r="C72" i="7" s="1"/>
  <c r="E66" i="1"/>
  <c r="E68" i="1" s="1"/>
  <c r="D72" i="33"/>
  <c r="F334" i="33"/>
  <c r="H334" i="33" s="1"/>
  <c r="I334" i="33" s="1"/>
  <c r="E335" i="33" s="1"/>
  <c r="G335" i="33" s="1"/>
  <c r="F295" i="33"/>
  <c r="F251" i="33"/>
  <c r="E145" i="33"/>
  <c r="L145" i="33" s="1"/>
  <c r="D176" i="33" l="1"/>
  <c r="E112" i="33"/>
  <c r="E113" i="33" s="1"/>
  <c r="D72" i="7" s="1"/>
  <c r="F66" i="1"/>
  <c r="F68" i="1" s="1"/>
  <c r="E72" i="33"/>
  <c r="B72" i="7"/>
  <c r="H251" i="33"/>
  <c r="I251" i="33" s="1"/>
  <c r="E252" i="33" s="1"/>
  <c r="G252" i="33" s="1"/>
  <c r="I53" i="7"/>
  <c r="H295" i="33"/>
  <c r="I295" i="33" s="1"/>
  <c r="E296" i="33" s="1"/>
  <c r="G296" i="33" s="1"/>
  <c r="G145" i="33"/>
  <c r="M145" i="33" s="1"/>
  <c r="E146" i="33"/>
  <c r="L146" i="33" s="1"/>
  <c r="E176" i="33" l="1"/>
  <c r="F112" i="33"/>
  <c r="F113" i="33" s="1"/>
  <c r="E72" i="7" s="1"/>
  <c r="G66" i="1"/>
  <c r="G68" i="1" s="1"/>
  <c r="F72" i="33"/>
  <c r="F335" i="33"/>
  <c r="F252" i="33"/>
  <c r="G146" i="33"/>
  <c r="M146" i="33" s="1"/>
  <c r="E147" i="33"/>
  <c r="L147" i="33" s="1"/>
  <c r="G112" i="33" l="1"/>
  <c r="G113" i="33" s="1"/>
  <c r="F72" i="7" s="1"/>
  <c r="H66" i="1"/>
  <c r="H68" i="1" s="1"/>
  <c r="G72" i="33"/>
  <c r="H252" i="33"/>
  <c r="I252" i="33" s="1"/>
  <c r="E253" i="33" s="1"/>
  <c r="G253" i="33" s="1"/>
  <c r="J53" i="7"/>
  <c r="H335" i="33"/>
  <c r="I335" i="33" s="1"/>
  <c r="E336" i="33" s="1"/>
  <c r="G336" i="33" s="1"/>
  <c r="F296" i="33"/>
  <c r="H296" i="33" s="1"/>
  <c r="I296" i="33" s="1"/>
  <c r="E297" i="33" s="1"/>
  <c r="G297" i="33" s="1"/>
  <c r="G147" i="33"/>
  <c r="M147" i="33" s="1"/>
  <c r="E148" i="33"/>
  <c r="L148" i="33" s="1"/>
  <c r="D175" i="33" s="1"/>
  <c r="P207" i="33" s="1"/>
  <c r="I66" i="1" l="1"/>
  <c r="I68" i="1" s="1"/>
  <c r="H72" i="33"/>
  <c r="H112" i="33"/>
  <c r="F336" i="33"/>
  <c r="H336" i="33" s="1"/>
  <c r="I336" i="33" s="1"/>
  <c r="E337" i="33" s="1"/>
  <c r="G337" i="33" s="1"/>
  <c r="F297" i="33"/>
  <c r="F253" i="33"/>
  <c r="G148" i="33"/>
  <c r="M148" i="33" s="1"/>
  <c r="E175" i="33" s="1"/>
  <c r="P220" i="33" s="1"/>
  <c r="H113" i="33" l="1"/>
  <c r="I112" i="33"/>
  <c r="I113" i="33" s="1"/>
  <c r="H72" i="7" s="1"/>
  <c r="J66" i="1"/>
  <c r="J68" i="1" s="1"/>
  <c r="I72" i="33"/>
  <c r="F337" i="33"/>
  <c r="H337" i="33" s="1"/>
  <c r="I337" i="33" s="1"/>
  <c r="E338" i="33" s="1"/>
  <c r="G338" i="33" s="1"/>
  <c r="H253" i="33"/>
  <c r="I253" i="33" s="1"/>
  <c r="E254" i="33" s="1"/>
  <c r="G254" i="33" s="1"/>
  <c r="K53" i="7"/>
  <c r="H297" i="33"/>
  <c r="I297" i="33" s="1"/>
  <c r="E298" i="33" s="1"/>
  <c r="G298" i="33" s="1"/>
  <c r="J72" i="33" l="1"/>
  <c r="J112" i="33"/>
  <c r="J113" i="33" s="1"/>
  <c r="I72" i="7" s="1"/>
  <c r="K66" i="1"/>
  <c r="K68" i="1" s="1"/>
  <c r="G72" i="7"/>
  <c r="F338" i="33"/>
  <c r="H338" i="33" s="1"/>
  <c r="I338" i="33" s="1"/>
  <c r="E339" i="33" s="1"/>
  <c r="G339" i="33" s="1"/>
  <c r="F298" i="33"/>
  <c r="F254" i="33"/>
  <c r="E149" i="33"/>
  <c r="L149" i="33" s="1"/>
  <c r="K112" i="33" l="1"/>
  <c r="K113" i="33" s="1"/>
  <c r="L66" i="1"/>
  <c r="L68" i="1" s="1"/>
  <c r="K72" i="33"/>
  <c r="F339" i="33"/>
  <c r="H339" i="33" s="1"/>
  <c r="I339" i="33" s="1"/>
  <c r="E340" i="33" s="1"/>
  <c r="G340" i="33" s="1"/>
  <c r="H254" i="33"/>
  <c r="I254" i="33" s="1"/>
  <c r="E255" i="33" s="1"/>
  <c r="G255" i="33" s="1"/>
  <c r="N338" i="33" s="1"/>
  <c r="D21" i="13" s="1"/>
  <c r="G21" i="13" s="1"/>
  <c r="L53" i="7"/>
  <c r="H298" i="33"/>
  <c r="I298" i="33" s="1"/>
  <c r="E299" i="33" s="1"/>
  <c r="G299" i="33" s="1"/>
  <c r="G149" i="33"/>
  <c r="M149" i="33" s="1"/>
  <c r="E150" i="33"/>
  <c r="L150" i="33" s="1"/>
  <c r="F340" i="33" l="1"/>
  <c r="H340" i="33" s="1"/>
  <c r="I340" i="33" s="1"/>
  <c r="E341" i="33" s="1"/>
  <c r="G341" i="33" s="1"/>
  <c r="L112" i="33"/>
  <c r="L113" i="33" s="1"/>
  <c r="K72" i="7" s="1"/>
  <c r="M66" i="1"/>
  <c r="M68" i="1" s="1"/>
  <c r="L72" i="33"/>
  <c r="J72" i="7"/>
  <c r="F299" i="33"/>
  <c r="H299" i="33" s="1"/>
  <c r="I299" i="33" s="1"/>
  <c r="E300" i="33" s="1"/>
  <c r="G300" i="33" s="1"/>
  <c r="F255" i="33"/>
  <c r="G150" i="33"/>
  <c r="M150" i="33" s="1"/>
  <c r="E151" i="33"/>
  <c r="L151" i="33" s="1"/>
  <c r="D180" i="33" l="1"/>
  <c r="D178" i="33"/>
  <c r="F341" i="33"/>
  <c r="H341" i="33" s="1"/>
  <c r="I341" i="33" s="1"/>
  <c r="E342" i="33" s="1"/>
  <c r="G342" i="33" s="1"/>
  <c r="M72" i="33"/>
  <c r="M112" i="33"/>
  <c r="M113" i="33" s="1"/>
  <c r="L72" i="7" s="1"/>
  <c r="N66" i="1"/>
  <c r="H255" i="33"/>
  <c r="I255" i="33" s="1"/>
  <c r="M53" i="7"/>
  <c r="N53" i="7" s="1"/>
  <c r="F300" i="33"/>
  <c r="G151" i="33"/>
  <c r="M151" i="33" s="1"/>
  <c r="E180" i="33" l="1"/>
  <c r="C217" i="33" s="1"/>
  <c r="O217" i="33" s="1"/>
  <c r="E178" i="33"/>
  <c r="C204" i="33"/>
  <c r="O204" i="33" s="1"/>
  <c r="C209" i="33"/>
  <c r="O209" i="33" s="1"/>
  <c r="G208" i="33"/>
  <c r="M208" i="33"/>
  <c r="D208" i="33"/>
  <c r="J208" i="33"/>
  <c r="N68" i="1"/>
  <c r="N69" i="1" s="1"/>
  <c r="H300" i="33"/>
  <c r="I300" i="33" s="1"/>
  <c r="E301" i="33" s="1"/>
  <c r="G301" i="33" s="1"/>
  <c r="E256" i="33"/>
  <c r="M252" i="33"/>
  <c r="N342" i="33" s="1"/>
  <c r="C30" i="25" s="1"/>
  <c r="F342" i="33"/>
  <c r="H342" i="33" s="1"/>
  <c r="I342" i="33" s="1"/>
  <c r="E343" i="33" s="1"/>
  <c r="G343" i="33" s="1"/>
  <c r="E152" i="33"/>
  <c r="L152" i="33" s="1"/>
  <c r="C222" i="33" l="1"/>
  <c r="O222" i="33" s="1"/>
  <c r="E13" i="25"/>
  <c r="F13" i="25" s="1"/>
  <c r="O69" i="1"/>
  <c r="O70" i="1" s="1"/>
  <c r="F8" i="13" s="1"/>
  <c r="G8" i="13" s="1"/>
  <c r="N72" i="33"/>
  <c r="N112" i="33"/>
  <c r="O68" i="1"/>
  <c r="D30" i="25"/>
  <c r="G256" i="33"/>
  <c r="F256" i="33" s="1"/>
  <c r="F343" i="33"/>
  <c r="H343" i="33" s="1"/>
  <c r="I343" i="33" s="1"/>
  <c r="E344" i="33" s="1"/>
  <c r="G344" i="33" s="1"/>
  <c r="F301" i="33"/>
  <c r="H301" i="33" s="1"/>
  <c r="I301" i="33" s="1"/>
  <c r="E302" i="33" s="1"/>
  <c r="G302" i="33" s="1"/>
  <c r="G152" i="33"/>
  <c r="M152" i="33" s="1"/>
  <c r="E153" i="33"/>
  <c r="L153" i="33" s="1"/>
  <c r="D179" i="33" s="1"/>
  <c r="P212" i="33" s="1"/>
  <c r="C34" i="25" s="1"/>
  <c r="D34" i="25" s="1"/>
  <c r="H208" i="33" l="1"/>
  <c r="K208" i="33"/>
  <c r="E208" i="33"/>
  <c r="N208" i="33"/>
  <c r="N113" i="33"/>
  <c r="O112" i="33"/>
  <c r="O71" i="1"/>
  <c r="O72" i="33"/>
  <c r="F7" i="13"/>
  <c r="O401" i="33" s="1"/>
  <c r="K395" i="33" s="1"/>
  <c r="H256" i="33"/>
  <c r="I256" i="33" s="1"/>
  <c r="E257" i="33" s="1"/>
  <c r="G257" i="33" s="1"/>
  <c r="F257" i="33" s="1"/>
  <c r="B82" i="7"/>
  <c r="F344" i="33"/>
  <c r="H344" i="33" s="1"/>
  <c r="I344" i="33" s="1"/>
  <c r="E345" i="33" s="1"/>
  <c r="G345" i="33" s="1"/>
  <c r="G153" i="33"/>
  <c r="M153" i="33" s="1"/>
  <c r="E154" i="33"/>
  <c r="L154" i="33" s="1"/>
  <c r="F13" i="13" l="1"/>
  <c r="G13" i="13" s="1"/>
  <c r="P408" i="33"/>
  <c r="E16" i="25" s="1"/>
  <c r="P407" i="33"/>
  <c r="E36" i="25" s="1"/>
  <c r="E179" i="33"/>
  <c r="P225" i="33" s="1"/>
  <c r="E34" i="25" s="1"/>
  <c r="F34" i="25" s="1"/>
  <c r="F9" i="13"/>
  <c r="G9" i="13" s="1"/>
  <c r="M72" i="7"/>
  <c r="N72" i="7" s="1"/>
  <c r="O113" i="33"/>
  <c r="H257" i="33"/>
  <c r="I257" i="33" s="1"/>
  <c r="E258" i="33" s="1"/>
  <c r="G258" i="33" s="1"/>
  <c r="F258" i="33" s="1"/>
  <c r="C82" i="7"/>
  <c r="F345" i="33"/>
  <c r="F302" i="33"/>
  <c r="G154" i="33"/>
  <c r="M154" i="33" s="1"/>
  <c r="E155" i="33"/>
  <c r="L155" i="33" s="1"/>
  <c r="M221" i="33" l="1"/>
  <c r="G221" i="33"/>
  <c r="J221" i="33"/>
  <c r="D221" i="33"/>
  <c r="E221" i="33"/>
  <c r="K221" i="33"/>
  <c r="N221" i="33"/>
  <c r="H221" i="33"/>
  <c r="H258" i="33"/>
  <c r="I258" i="33" s="1"/>
  <c r="E259" i="33" s="1"/>
  <c r="G259" i="33" s="1"/>
  <c r="F259" i="33" s="1"/>
  <c r="D82" i="7"/>
  <c r="H302" i="33"/>
  <c r="I302" i="33" s="1"/>
  <c r="E303" i="33" s="1"/>
  <c r="G303" i="33" s="1"/>
  <c r="H345" i="33"/>
  <c r="I345" i="33" s="1"/>
  <c r="M331" i="33" s="1"/>
  <c r="E156" i="33"/>
  <c r="L156" i="33" s="1"/>
  <c r="G155" i="33"/>
  <c r="M155" i="33" s="1"/>
  <c r="F303" i="33" l="1"/>
  <c r="H303" i="33" s="1"/>
  <c r="I303" i="33" s="1"/>
  <c r="E304" i="33" s="1"/>
  <c r="G304" i="33" s="1"/>
  <c r="H259" i="33"/>
  <c r="I259" i="33" s="1"/>
  <c r="E260" i="33" s="1"/>
  <c r="G260" i="33" s="1"/>
  <c r="F260" i="33" s="1"/>
  <c r="E82" i="7"/>
  <c r="G156" i="33"/>
  <c r="M156" i="33" s="1"/>
  <c r="E157" i="33"/>
  <c r="L157" i="33" s="1"/>
  <c r="H260" i="33" l="1"/>
  <c r="I260" i="33" s="1"/>
  <c r="E261" i="33" s="1"/>
  <c r="G261" i="33" s="1"/>
  <c r="F261" i="33" s="1"/>
  <c r="F82" i="7"/>
  <c r="F304" i="33"/>
  <c r="G157" i="33"/>
  <c r="M157" i="33" s="1"/>
  <c r="E158" i="33"/>
  <c r="L158" i="33" s="1"/>
  <c r="H304" i="33" l="1"/>
  <c r="I304" i="33" s="1"/>
  <c r="E305" i="33" s="1"/>
  <c r="G305" i="33" s="1"/>
  <c r="H261" i="33"/>
  <c r="I261" i="33" s="1"/>
  <c r="E262" i="33" s="1"/>
  <c r="G262" i="33" s="1"/>
  <c r="F262" i="33" s="1"/>
  <c r="G82" i="7"/>
  <c r="E75" i="2"/>
  <c r="G158" i="33"/>
  <c r="M158" i="33" s="1"/>
  <c r="E159" i="33"/>
  <c r="L159" i="33" s="1"/>
  <c r="D177" i="33" s="1"/>
  <c r="C203" i="33" l="1"/>
  <c r="C208" i="33"/>
  <c r="F305" i="33"/>
  <c r="H305" i="33" s="1"/>
  <c r="I305" i="33" s="1"/>
  <c r="E306" i="33" s="1"/>
  <c r="G306" i="33" s="1"/>
  <c r="H262" i="33"/>
  <c r="I262" i="33" s="1"/>
  <c r="E263" i="33" s="1"/>
  <c r="H82" i="7"/>
  <c r="F203" i="33"/>
  <c r="L203" i="33"/>
  <c r="L208" i="33"/>
  <c r="I203" i="33"/>
  <c r="F208" i="33"/>
  <c r="I208" i="33"/>
  <c r="G75" i="2"/>
  <c r="G159" i="33"/>
  <c r="M159" i="33" s="1"/>
  <c r="E177" i="33" s="1"/>
  <c r="C216" i="33" s="1"/>
  <c r="C71" i="2"/>
  <c r="C10" i="13" s="1"/>
  <c r="E10" i="13" s="1"/>
  <c r="E170" i="33" l="1"/>
  <c r="E74" i="2"/>
  <c r="E79" i="2" s="1"/>
  <c r="G263" i="33"/>
  <c r="F263" i="33" s="1"/>
  <c r="F306" i="33"/>
  <c r="O203" i="33"/>
  <c r="I221" i="33"/>
  <c r="I216" i="33"/>
  <c r="C221" i="33"/>
  <c r="L216" i="33"/>
  <c r="L221" i="33"/>
  <c r="F216" i="33"/>
  <c r="F221" i="33"/>
  <c r="O208" i="33"/>
  <c r="F11" i="33"/>
  <c r="J11" i="33"/>
  <c r="N11" i="33"/>
  <c r="D11" i="33"/>
  <c r="L11" i="33"/>
  <c r="I11" i="33"/>
  <c r="G11" i="33"/>
  <c r="K11" i="33"/>
  <c r="C11" i="33"/>
  <c r="H11" i="33"/>
  <c r="E11" i="33"/>
  <c r="M11" i="33"/>
  <c r="E71" i="2"/>
  <c r="D10" i="13" s="1"/>
  <c r="G10" i="13" s="1"/>
  <c r="G170" i="33" l="1"/>
  <c r="G74" i="2"/>
  <c r="G79" i="2" s="1"/>
  <c r="L170" i="33"/>
  <c r="E171" i="33"/>
  <c r="D18" i="13"/>
  <c r="H306" i="33"/>
  <c r="I306" i="33" s="1"/>
  <c r="M292" i="33" s="1"/>
  <c r="H263" i="33"/>
  <c r="I263" i="33" s="1"/>
  <c r="E264" i="33" s="1"/>
  <c r="G264" i="33" s="1"/>
  <c r="F264" i="33" s="1"/>
  <c r="I82" i="7"/>
  <c r="O221" i="33"/>
  <c r="O216" i="33"/>
  <c r="F54" i="33"/>
  <c r="F58" i="33" s="1"/>
  <c r="J54" i="33"/>
  <c r="J58" i="33" s="1"/>
  <c r="N54" i="33"/>
  <c r="N58" i="33" s="1"/>
  <c r="D54" i="33"/>
  <c r="D58" i="33" s="1"/>
  <c r="L54" i="33"/>
  <c r="L58" i="33" s="1"/>
  <c r="I54" i="33"/>
  <c r="I58" i="33" s="1"/>
  <c r="G54" i="33"/>
  <c r="G58" i="33" s="1"/>
  <c r="K54" i="33"/>
  <c r="K58" i="33" s="1"/>
  <c r="C54" i="33"/>
  <c r="C58" i="33" s="1"/>
  <c r="H54" i="33"/>
  <c r="H58" i="33" s="1"/>
  <c r="E54" i="33"/>
  <c r="E58" i="33" s="1"/>
  <c r="M54" i="33"/>
  <c r="M58" i="33" s="1"/>
  <c r="P11" i="33"/>
  <c r="P22" i="33" s="1"/>
  <c r="P24" i="33" s="1"/>
  <c r="D22" i="13"/>
  <c r="G22" i="13" s="1"/>
  <c r="G71" i="2"/>
  <c r="F10" i="13" s="1"/>
  <c r="F18" i="13" s="1"/>
  <c r="F19" i="13" s="1"/>
  <c r="G18" i="13" l="1"/>
  <c r="L171" i="33"/>
  <c r="D174" i="33"/>
  <c r="M170" i="33"/>
  <c r="G171" i="33"/>
  <c r="D19" i="13"/>
  <c r="L60" i="33"/>
  <c r="L64" i="33" s="1"/>
  <c r="K38" i="7" s="1"/>
  <c r="J60" i="33"/>
  <c r="J64" i="33" s="1"/>
  <c r="I38" i="7" s="1"/>
  <c r="N60" i="33"/>
  <c r="E60" i="33"/>
  <c r="E64" i="33" s="1"/>
  <c r="D38" i="7" s="1"/>
  <c r="F60" i="33"/>
  <c r="F64" i="33" s="1"/>
  <c r="E38" i="7" s="1"/>
  <c r="I60" i="33"/>
  <c r="I64" i="33" s="1"/>
  <c r="H38" i="7" s="1"/>
  <c r="G60" i="33"/>
  <c r="G64" i="33" s="1"/>
  <c r="F38" i="7" s="1"/>
  <c r="O54" i="33"/>
  <c r="H264" i="33"/>
  <c r="I264" i="33" s="1"/>
  <c r="E265" i="33" s="1"/>
  <c r="G265" i="33" s="1"/>
  <c r="F265" i="33" s="1"/>
  <c r="J82" i="7"/>
  <c r="K60" i="33"/>
  <c r="K64" i="33" s="1"/>
  <c r="J38" i="7" s="1"/>
  <c r="D73" i="33"/>
  <c r="D77" i="33" s="1"/>
  <c r="H73" i="33"/>
  <c r="H77" i="33" s="1"/>
  <c r="L73" i="33"/>
  <c r="L77" i="33" s="1"/>
  <c r="F73" i="33"/>
  <c r="F77" i="33" s="1"/>
  <c r="N73" i="33"/>
  <c r="N77" i="33" s="1"/>
  <c r="K73" i="33"/>
  <c r="K77" i="33" s="1"/>
  <c r="E73" i="33"/>
  <c r="E77" i="33" s="1"/>
  <c r="I73" i="33"/>
  <c r="I77" i="33" s="1"/>
  <c r="M73" i="33"/>
  <c r="M77" i="33" s="1"/>
  <c r="J73" i="33"/>
  <c r="J77" i="33" s="1"/>
  <c r="G73" i="33"/>
  <c r="G77" i="33" s="1"/>
  <c r="C73" i="33"/>
  <c r="C77" i="33" s="1"/>
  <c r="H60" i="33"/>
  <c r="H64" i="33" s="1"/>
  <c r="G38" i="7" s="1"/>
  <c r="M60" i="33"/>
  <c r="M64" i="33" s="1"/>
  <c r="L38" i="7" s="1"/>
  <c r="G19" i="13" l="1"/>
  <c r="D207" i="33"/>
  <c r="D211" i="33" s="1"/>
  <c r="C44" i="7" s="1"/>
  <c r="C207" i="33"/>
  <c r="C211" i="33" s="1"/>
  <c r="D186" i="33"/>
  <c r="C202" i="33"/>
  <c r="G202" i="33"/>
  <c r="E202" i="33"/>
  <c r="J202" i="33"/>
  <c r="D202" i="33"/>
  <c r="F207" i="33"/>
  <c r="F211" i="33" s="1"/>
  <c r="E44" i="7" s="1"/>
  <c r="N202" i="33"/>
  <c r="H207" i="33"/>
  <c r="H211" i="33" s="1"/>
  <c r="G44" i="7" s="1"/>
  <c r="M202" i="33"/>
  <c r="H202" i="33"/>
  <c r="L207" i="33"/>
  <c r="L211" i="33" s="1"/>
  <c r="K44" i="7" s="1"/>
  <c r="J207" i="33"/>
  <c r="J211" i="33" s="1"/>
  <c r="I44" i="7" s="1"/>
  <c r="K207" i="33"/>
  <c r="K211" i="33" s="1"/>
  <c r="J44" i="7" s="1"/>
  <c r="G207" i="33"/>
  <c r="G211" i="33" s="1"/>
  <c r="F44" i="7" s="1"/>
  <c r="K202" i="33"/>
  <c r="I207" i="33"/>
  <c r="I211" i="33" s="1"/>
  <c r="H44" i="7" s="1"/>
  <c r="I202" i="33"/>
  <c r="M207" i="33"/>
  <c r="M211" i="33" s="1"/>
  <c r="L44" i="7" s="1"/>
  <c r="L202" i="33"/>
  <c r="N207" i="33"/>
  <c r="N211" i="33" s="1"/>
  <c r="M44" i="7" s="1"/>
  <c r="E207" i="33"/>
  <c r="E211" i="33" s="1"/>
  <c r="D44" i="7" s="1"/>
  <c r="F202" i="33"/>
  <c r="E174" i="33"/>
  <c r="M171" i="33"/>
  <c r="P60" i="33"/>
  <c r="P65" i="33" s="1"/>
  <c r="C79" i="33"/>
  <c r="C83" i="33" s="1"/>
  <c r="B66" i="7" s="1"/>
  <c r="L61" i="33"/>
  <c r="I61" i="33"/>
  <c r="O58" i="33"/>
  <c r="F49" i="7"/>
  <c r="H49" i="7"/>
  <c r="N64" i="33"/>
  <c r="I49" i="7"/>
  <c r="E49" i="7"/>
  <c r="D49" i="7"/>
  <c r="K49" i="7"/>
  <c r="C80" i="33"/>
  <c r="J79" i="33"/>
  <c r="J83" i="33" s="1"/>
  <c r="I66" i="7" s="1"/>
  <c r="G79" i="33"/>
  <c r="G83" i="33" s="1"/>
  <c r="P61" i="33"/>
  <c r="N79" i="33"/>
  <c r="N83" i="33" s="1"/>
  <c r="M66" i="7" s="1"/>
  <c r="E79" i="33"/>
  <c r="E83" i="33" s="1"/>
  <c r="D66" i="7" s="1"/>
  <c r="F79" i="33"/>
  <c r="F83" i="33" s="1"/>
  <c r="E66" i="7" s="1"/>
  <c r="J49" i="7"/>
  <c r="L49" i="7"/>
  <c r="G49" i="7"/>
  <c r="D60" i="33"/>
  <c r="D64" i="33" s="1"/>
  <c r="C38" i="7" s="1"/>
  <c r="P62" i="33"/>
  <c r="F61" i="33"/>
  <c r="O73" i="33"/>
  <c r="H265" i="33"/>
  <c r="I265" i="33" s="1"/>
  <c r="E266" i="33" s="1"/>
  <c r="G266" i="33" s="1"/>
  <c r="F266" i="33" s="1"/>
  <c r="K82" i="7"/>
  <c r="H79" i="33"/>
  <c r="H83" i="33" s="1"/>
  <c r="G66" i="7" s="1"/>
  <c r="M79" i="33"/>
  <c r="M83" i="33" s="1"/>
  <c r="L66" i="7" s="1"/>
  <c r="K79" i="33"/>
  <c r="K83" i="33" s="1"/>
  <c r="J66" i="7" s="1"/>
  <c r="D220" i="33" l="1"/>
  <c r="D224" i="33" s="1"/>
  <c r="C73" i="7" s="1"/>
  <c r="C220" i="33"/>
  <c r="E186" i="33"/>
  <c r="C215" i="33"/>
  <c r="O202" i="33"/>
  <c r="O207" i="33"/>
  <c r="N220" i="33"/>
  <c r="N224" i="33" s="1"/>
  <c r="M73" i="7" s="1"/>
  <c r="J215" i="33"/>
  <c r="K220" i="33"/>
  <c r="K224" i="33" s="1"/>
  <c r="J73" i="7" s="1"/>
  <c r="M215" i="33"/>
  <c r="D215" i="33"/>
  <c r="H220" i="33"/>
  <c r="H224" i="33" s="1"/>
  <c r="G73" i="7" s="1"/>
  <c r="M220" i="33"/>
  <c r="M224" i="33" s="1"/>
  <c r="L73" i="7" s="1"/>
  <c r="E220" i="33"/>
  <c r="E224" i="33" s="1"/>
  <c r="D73" i="7" s="1"/>
  <c r="L220" i="33"/>
  <c r="L224" i="33" s="1"/>
  <c r="K73" i="7" s="1"/>
  <c r="K215" i="33"/>
  <c r="F220" i="33"/>
  <c r="F224" i="33" s="1"/>
  <c r="E73" i="7" s="1"/>
  <c r="H215" i="33"/>
  <c r="G215" i="33"/>
  <c r="E215" i="33"/>
  <c r="N215" i="33"/>
  <c r="J220" i="33"/>
  <c r="J224" i="33" s="1"/>
  <c r="I73" i="7" s="1"/>
  <c r="L215" i="33"/>
  <c r="F215" i="33"/>
  <c r="G220" i="33"/>
  <c r="G224" i="33" s="1"/>
  <c r="F73" i="7" s="1"/>
  <c r="I215" i="33"/>
  <c r="I220" i="33"/>
  <c r="I224" i="33" s="1"/>
  <c r="H73" i="7" s="1"/>
  <c r="M49" i="7"/>
  <c r="M38" i="7"/>
  <c r="F78" i="7"/>
  <c r="F66" i="7"/>
  <c r="D15" i="25"/>
  <c r="B78" i="7"/>
  <c r="O61" i="33"/>
  <c r="I80" i="33"/>
  <c r="P80" i="33"/>
  <c r="L80" i="33"/>
  <c r="D78" i="7"/>
  <c r="M78" i="7"/>
  <c r="E78" i="7"/>
  <c r="I78" i="7"/>
  <c r="O77" i="33"/>
  <c r="L79" i="33"/>
  <c r="L83" i="33" s="1"/>
  <c r="K66" i="7" s="1"/>
  <c r="I79" i="33"/>
  <c r="I83" i="33" s="1"/>
  <c r="H66" i="7" s="1"/>
  <c r="P79" i="33"/>
  <c r="P84" i="33" s="1"/>
  <c r="L78" i="7"/>
  <c r="J78" i="7"/>
  <c r="G78" i="7"/>
  <c r="C49" i="7"/>
  <c r="O60" i="33"/>
  <c r="O64" i="33" s="1"/>
  <c r="F80" i="33"/>
  <c r="D79" i="33"/>
  <c r="P81" i="33"/>
  <c r="H266" i="33"/>
  <c r="I266" i="33" s="1"/>
  <c r="E267" i="33" s="1"/>
  <c r="L82" i="7"/>
  <c r="D23" i="13"/>
  <c r="C224" i="33" l="1"/>
  <c r="O220" i="33"/>
  <c r="O215" i="33"/>
  <c r="O211" i="33"/>
  <c r="B44" i="7"/>
  <c r="O80" i="33"/>
  <c r="K78" i="7"/>
  <c r="H78" i="7"/>
  <c r="N49" i="7"/>
  <c r="N38" i="7"/>
  <c r="O79" i="33"/>
  <c r="O83" i="33" s="1"/>
  <c r="D83" i="33"/>
  <c r="C66" i="7" s="1"/>
  <c r="G267" i="33"/>
  <c r="N339" i="33" s="1"/>
  <c r="F21" i="13" s="1"/>
  <c r="N44" i="7" l="1"/>
  <c r="O224" i="33"/>
  <c r="B73" i="7"/>
  <c r="C78" i="7"/>
  <c r="F267" i="33"/>
  <c r="H267" i="33" s="1"/>
  <c r="I267" i="33" s="1"/>
  <c r="M253" i="33" s="1"/>
  <c r="N343" i="33" s="1"/>
  <c r="E30" i="25" s="1"/>
  <c r="F30" i="25" s="1"/>
  <c r="N73" i="7" l="1"/>
  <c r="M82" i="7"/>
  <c r="N82" i="7" s="1"/>
  <c r="N66" i="7"/>
  <c r="N78" i="7"/>
  <c r="F22" i="13" l="1"/>
  <c r="F23" i="13" l="1"/>
  <c r="G23" i="13" l="1"/>
  <c r="E9" i="37"/>
  <c r="C27" i="34" l="1"/>
  <c r="O25" i="34"/>
  <c r="B34" i="7"/>
  <c r="N34" i="7" s="1"/>
  <c r="O27" i="34" l="1"/>
  <c r="P363" i="33" l="1"/>
  <c r="D373" i="33"/>
  <c r="P364" i="33"/>
  <c r="B16" i="25" s="1"/>
  <c r="C13" i="13"/>
  <c r="B19" i="25" l="1"/>
  <c r="P385" i="33"/>
  <c r="P386" i="33"/>
  <c r="C16" i="25" s="1"/>
  <c r="D16" i="25" s="1"/>
  <c r="E13" i="13"/>
  <c r="C18" i="13"/>
  <c r="D374" i="33"/>
  <c r="D375" i="33" s="1"/>
  <c r="B36" i="25"/>
  <c r="J381" i="33" l="1"/>
  <c r="C380" i="33"/>
  <c r="F380" i="33"/>
  <c r="M381" i="33"/>
  <c r="D381" i="33"/>
  <c r="G380" i="33"/>
  <c r="H380" i="33"/>
  <c r="J380" i="33"/>
  <c r="M380" i="33"/>
  <c r="I380" i="33"/>
  <c r="E380" i="33"/>
  <c r="G381" i="33"/>
  <c r="N380" i="33"/>
  <c r="D380" i="33"/>
  <c r="L380" i="33"/>
  <c r="K380" i="33"/>
  <c r="E18" i="13"/>
  <c r="C19" i="13"/>
  <c r="D396" i="33"/>
  <c r="D397" i="33" s="1"/>
  <c r="C36" i="25"/>
  <c r="B20" i="25"/>
  <c r="F16" i="25"/>
  <c r="F383" i="33" l="1"/>
  <c r="E37" i="7" s="1"/>
  <c r="E40" i="7" s="1"/>
  <c r="F382" i="33"/>
  <c r="E46" i="7" s="1"/>
  <c r="F36" i="25"/>
  <c r="J383" i="33"/>
  <c r="I37" i="7" s="1"/>
  <c r="I40" i="7" s="1"/>
  <c r="J382" i="33"/>
  <c r="I46" i="7" s="1"/>
  <c r="I55" i="7" s="1"/>
  <c r="L382" i="33"/>
  <c r="K46" i="7" s="1"/>
  <c r="K55" i="7" s="1"/>
  <c r="L383" i="33"/>
  <c r="K37" i="7" s="1"/>
  <c r="K40" i="7" s="1"/>
  <c r="H382" i="33"/>
  <c r="G46" i="7" s="1"/>
  <c r="H383" i="33"/>
  <c r="G37" i="7" s="1"/>
  <c r="G40" i="7" s="1"/>
  <c r="E19" i="13"/>
  <c r="C23" i="13"/>
  <c r="C571" i="33" s="1"/>
  <c r="D382" i="33"/>
  <c r="C46" i="7" s="1"/>
  <c r="C55" i="7" s="1"/>
  <c r="D383" i="33"/>
  <c r="C37" i="7" s="1"/>
  <c r="C40" i="7" s="1"/>
  <c r="I382" i="33"/>
  <c r="H46" i="7" s="1"/>
  <c r="H55" i="7" s="1"/>
  <c r="I383" i="33"/>
  <c r="H37" i="7" s="1"/>
  <c r="H40" i="7" s="1"/>
  <c r="G382" i="33"/>
  <c r="F46" i="7" s="1"/>
  <c r="F55" i="7" s="1"/>
  <c r="G383" i="33"/>
  <c r="F37" i="7" s="1"/>
  <c r="F40" i="7" s="1"/>
  <c r="O380" i="33"/>
  <c r="C382" i="33"/>
  <c r="C383" i="33"/>
  <c r="K383" i="33"/>
  <c r="J37" i="7" s="1"/>
  <c r="J40" i="7" s="1"/>
  <c r="K382" i="33"/>
  <c r="J46" i="7" s="1"/>
  <c r="M403" i="33"/>
  <c r="H402" i="33"/>
  <c r="C402" i="33"/>
  <c r="G402" i="33"/>
  <c r="N402" i="33"/>
  <c r="J402" i="33"/>
  <c r="D402" i="33"/>
  <c r="J403" i="33"/>
  <c r="L402" i="33"/>
  <c r="D403" i="33"/>
  <c r="G403" i="33"/>
  <c r="M402" i="33"/>
  <c r="F402" i="33"/>
  <c r="K402" i="33"/>
  <c r="E402" i="33"/>
  <c r="I402" i="33"/>
  <c r="E382" i="33"/>
  <c r="D46" i="7" s="1"/>
  <c r="D55" i="7" s="1"/>
  <c r="E383" i="33"/>
  <c r="D37" i="7" s="1"/>
  <c r="D40" i="7" s="1"/>
  <c r="D36" i="25"/>
  <c r="N382" i="33"/>
  <c r="M46" i="7" s="1"/>
  <c r="N383" i="33"/>
  <c r="M37" i="7" s="1"/>
  <c r="M40" i="7" s="1"/>
  <c r="M382" i="33"/>
  <c r="L46" i="7" s="1"/>
  <c r="L55" i="7" s="1"/>
  <c r="M383" i="33"/>
  <c r="L37" i="7" s="1"/>
  <c r="L40" i="7" s="1"/>
  <c r="O381" i="33"/>
  <c r="C572" i="33" l="1"/>
  <c r="C574" i="33"/>
  <c r="D571" i="33" s="1"/>
  <c r="C573" i="33"/>
  <c r="C575" i="33" s="1"/>
  <c r="D56" i="7"/>
  <c r="F56" i="7"/>
  <c r="C56" i="7"/>
  <c r="H56" i="7"/>
  <c r="J404" i="33"/>
  <c r="I75" i="7" s="1"/>
  <c r="I84" i="7" s="1"/>
  <c r="J405" i="33"/>
  <c r="I65" i="7" s="1"/>
  <c r="I69" i="7" s="1"/>
  <c r="E404" i="33"/>
  <c r="D75" i="7" s="1"/>
  <c r="E405" i="33"/>
  <c r="D65" i="7" s="1"/>
  <c r="D69" i="7" s="1"/>
  <c r="D405" i="33"/>
  <c r="C65" i="7" s="1"/>
  <c r="C69" i="7" s="1"/>
  <c r="D404" i="33"/>
  <c r="C75" i="7" s="1"/>
  <c r="C84" i="7" s="1"/>
  <c r="O403" i="33"/>
  <c r="F405" i="33"/>
  <c r="E65" i="7" s="1"/>
  <c r="F404" i="33"/>
  <c r="E75" i="7" s="1"/>
  <c r="L404" i="33"/>
  <c r="K75" i="7" s="1"/>
  <c r="K84" i="7" s="1"/>
  <c r="L405" i="33"/>
  <c r="K65" i="7" s="1"/>
  <c r="K69" i="7" s="1"/>
  <c r="N404" i="33"/>
  <c r="M75" i="7" s="1"/>
  <c r="N405" i="33"/>
  <c r="M65" i="7" s="1"/>
  <c r="M69" i="7" s="1"/>
  <c r="O382" i="33"/>
  <c r="B46" i="7"/>
  <c r="E23" i="13"/>
  <c r="I56" i="7"/>
  <c r="O402" i="33"/>
  <c r="C404" i="33"/>
  <c r="C405" i="33"/>
  <c r="K404" i="33"/>
  <c r="J75" i="7" s="1"/>
  <c r="K405" i="33"/>
  <c r="J65" i="7" s="1"/>
  <c r="J69" i="7" s="1"/>
  <c r="H404" i="33"/>
  <c r="G75" i="7" s="1"/>
  <c r="H405" i="33"/>
  <c r="G65" i="7" s="1"/>
  <c r="G69" i="7" s="1"/>
  <c r="O383" i="33"/>
  <c r="B37" i="7"/>
  <c r="L56" i="7"/>
  <c r="I405" i="33"/>
  <c r="H65" i="7" s="1"/>
  <c r="H69" i="7" s="1"/>
  <c r="I404" i="33"/>
  <c r="H75" i="7" s="1"/>
  <c r="H84" i="7" s="1"/>
  <c r="M405" i="33"/>
  <c r="L65" i="7" s="1"/>
  <c r="L69" i="7" s="1"/>
  <c r="M404" i="33"/>
  <c r="L75" i="7" s="1"/>
  <c r="L84" i="7" s="1"/>
  <c r="G405" i="33"/>
  <c r="F65" i="7" s="1"/>
  <c r="F69" i="7" s="1"/>
  <c r="G404" i="33"/>
  <c r="F75" i="7" s="1"/>
  <c r="F84" i="7" s="1"/>
  <c r="K56" i="7"/>
  <c r="D573" i="33" l="1"/>
  <c r="D574" i="33"/>
  <c r="E571" i="33" s="1"/>
  <c r="D572" i="33"/>
  <c r="K574" i="33"/>
  <c r="M50" i="7" s="1"/>
  <c r="M55" i="7" s="1"/>
  <c r="M56" i="7" s="1"/>
  <c r="C24" i="13"/>
  <c r="C25" i="13" s="1"/>
  <c r="H571" i="33"/>
  <c r="B35" i="25" s="1"/>
  <c r="H574" i="33"/>
  <c r="E50" i="7" s="1"/>
  <c r="I574" i="33"/>
  <c r="G50" i="7" s="1"/>
  <c r="G55" i="7" s="1"/>
  <c r="G56" i="7" s="1"/>
  <c r="J574" i="33"/>
  <c r="J50" i="7" s="1"/>
  <c r="J55" i="7" s="1"/>
  <c r="J56" i="7" s="1"/>
  <c r="L85" i="7"/>
  <c r="F85" i="7"/>
  <c r="H85" i="7"/>
  <c r="I85" i="7"/>
  <c r="O404" i="33"/>
  <c r="B75" i="7"/>
  <c r="N37" i="7"/>
  <c r="B40" i="7"/>
  <c r="N46" i="7"/>
  <c r="B55" i="7"/>
  <c r="K85" i="7"/>
  <c r="B65" i="7"/>
  <c r="O405" i="33"/>
  <c r="D8" i="37"/>
  <c r="B27" i="25"/>
  <c r="C85" i="7"/>
  <c r="D35" i="25" l="1"/>
  <c r="B39" i="25"/>
  <c r="C25" i="25"/>
  <c r="C26" i="25"/>
  <c r="D575" i="33"/>
  <c r="N50" i="7"/>
  <c r="E55" i="7"/>
  <c r="E56" i="7" s="1"/>
  <c r="E573" i="33"/>
  <c r="E572" i="33"/>
  <c r="E574" i="33"/>
  <c r="E25" i="25"/>
  <c r="F25" i="25" s="1"/>
  <c r="D25" i="25"/>
  <c r="N40" i="7"/>
  <c r="B57" i="7"/>
  <c r="B56" i="7"/>
  <c r="D9" i="37"/>
  <c r="N75" i="7"/>
  <c r="B84" i="7"/>
  <c r="N65" i="7"/>
  <c r="B69" i="7"/>
  <c r="B28" i="25"/>
  <c r="E575" i="33" l="1"/>
  <c r="D21" i="37"/>
  <c r="D39" i="25"/>
  <c r="F24" i="13"/>
  <c r="F25" i="13" s="1"/>
  <c r="K577" i="33"/>
  <c r="J79" i="7" s="1"/>
  <c r="J84" i="7" s="1"/>
  <c r="J85" i="7" s="1"/>
  <c r="D24" i="13"/>
  <c r="L577" i="33"/>
  <c r="M79" i="7" s="1"/>
  <c r="M84" i="7" s="1"/>
  <c r="M85" i="7" s="1"/>
  <c r="J577" i="33"/>
  <c r="G79" i="7" s="1"/>
  <c r="G84" i="7" s="1"/>
  <c r="G85" i="7" s="1"/>
  <c r="H577" i="33"/>
  <c r="D79" i="7" s="1"/>
  <c r="D84" i="7" s="1"/>
  <c r="D85" i="7" s="1"/>
  <c r="M574" i="33"/>
  <c r="L574" i="33"/>
  <c r="N55" i="7"/>
  <c r="B40" i="25"/>
  <c r="D11" i="37"/>
  <c r="D16" i="37" s="1"/>
  <c r="D22" i="37"/>
  <c r="C57" i="7"/>
  <c r="O636" i="33"/>
  <c r="B85" i="7"/>
  <c r="C15" i="25" l="1"/>
  <c r="F15" i="25" s="1"/>
  <c r="I578" i="33"/>
  <c r="E67" i="7" s="1"/>
  <c r="E24" i="13"/>
  <c r="D25" i="13"/>
  <c r="G24" i="13"/>
  <c r="N577" i="33"/>
  <c r="E15" i="25" s="1"/>
  <c r="G25" i="13"/>
  <c r="G8" i="37"/>
  <c r="E27" i="25"/>
  <c r="I577" i="33"/>
  <c r="E79" i="7" s="1"/>
  <c r="C35" i="25"/>
  <c r="M577" i="33"/>
  <c r="E35" i="25" s="1"/>
  <c r="E39" i="25" s="1"/>
  <c r="P636" i="33"/>
  <c r="D57" i="7"/>
  <c r="D17" i="37"/>
  <c r="F35" i="25" l="1"/>
  <c r="C39" i="25"/>
  <c r="F39" i="25" s="1"/>
  <c r="N67" i="7"/>
  <c r="E69" i="7"/>
  <c r="E8" i="37"/>
  <c r="F8" i="37" s="1"/>
  <c r="C27" i="25"/>
  <c r="E25" i="13"/>
  <c r="N79" i="7"/>
  <c r="E84" i="7"/>
  <c r="N84" i="7" s="1"/>
  <c r="H8" i="37"/>
  <c r="E57" i="7"/>
  <c r="Q636" i="33"/>
  <c r="E26" i="25" l="1"/>
  <c r="D27" i="25"/>
  <c r="C28" i="25"/>
  <c r="F27" i="25"/>
  <c r="E85" i="7"/>
  <c r="N69" i="7"/>
  <c r="F57" i="7"/>
  <c r="R636" i="33"/>
  <c r="E28" i="25" l="1"/>
  <c r="F26" i="25"/>
  <c r="D28" i="25"/>
  <c r="F28" i="25"/>
  <c r="E11" i="37"/>
  <c r="C40" i="25"/>
  <c r="E22" i="37"/>
  <c r="S636" i="33"/>
  <c r="G57" i="7"/>
  <c r="F22" i="37" l="1"/>
  <c r="H22" i="37"/>
  <c r="D40" i="25"/>
  <c r="F11" i="37"/>
  <c r="E40" i="25"/>
  <c r="F40" i="25" s="1"/>
  <c r="G11" i="37"/>
  <c r="H11" i="37" s="1"/>
  <c r="G22" i="37"/>
  <c r="T636" i="33"/>
  <c r="H57" i="7"/>
  <c r="U636" i="33" l="1"/>
  <c r="I57" i="7"/>
  <c r="V636" i="33" l="1"/>
  <c r="J57" i="7"/>
  <c r="K57" i="7" l="1"/>
  <c r="W636" i="33"/>
  <c r="X636" i="33" l="1"/>
  <c r="L57" i="7"/>
  <c r="M57" i="7" l="1"/>
  <c r="Y636" i="33"/>
  <c r="Z636" i="33" l="1"/>
  <c r="B86" i="7"/>
  <c r="E10" i="37"/>
  <c r="C18" i="25"/>
  <c r="D18" i="25" l="1"/>
  <c r="E15" i="37"/>
  <c r="F15" i="37" s="1"/>
  <c r="C19" i="25"/>
  <c r="C86" i="7"/>
  <c r="AA636" i="33"/>
  <c r="F10" i="37"/>
  <c r="E21" i="37" l="1"/>
  <c r="C20" i="25"/>
  <c r="D19" i="25"/>
  <c r="E16" i="37"/>
  <c r="E17" i="37"/>
  <c r="AB636" i="33"/>
  <c r="D86" i="7"/>
  <c r="D20" i="25" l="1"/>
  <c r="F17" i="37"/>
  <c r="E86" i="7"/>
  <c r="AC636" i="33"/>
  <c r="F21" i="37"/>
  <c r="AD636" i="33" l="1"/>
  <c r="F86" i="7"/>
  <c r="G86" i="7" l="1"/>
  <c r="AE636" i="33"/>
  <c r="AF636" i="33" l="1"/>
  <c r="H86" i="7"/>
  <c r="I86" i="7" l="1"/>
  <c r="AG636" i="33"/>
  <c r="AH636" i="33" l="1"/>
  <c r="J86" i="7"/>
  <c r="K86" i="7" l="1"/>
  <c r="AI636" i="33"/>
  <c r="L86" i="7" l="1"/>
  <c r="AJ636" i="33"/>
  <c r="AK636" i="33" l="1"/>
  <c r="M86" i="7"/>
  <c r="E18" i="25" s="1"/>
  <c r="G10" i="37" l="1"/>
  <c r="H10" i="37" s="1"/>
  <c r="AL636" i="33"/>
  <c r="E19" i="25" l="1"/>
  <c r="G15" i="37"/>
  <c r="F18" i="25"/>
  <c r="E20" i="25" l="1"/>
  <c r="F20" i="25" s="1"/>
  <c r="G21" i="37"/>
  <c r="H21" i="37" s="1"/>
  <c r="F19" i="25"/>
  <c r="G16" i="37"/>
  <c r="G17" i="37"/>
  <c r="H17" i="37" s="1"/>
  <c r="H15" i="37"/>
</calcChain>
</file>

<file path=xl/comments1.xml><?xml version="1.0" encoding="utf-8"?>
<comments xmlns="http://schemas.openxmlformats.org/spreadsheetml/2006/main">
  <authors>
    <author>PIERRE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Informations :</t>
        </r>
        <r>
          <rPr>
            <sz val="9"/>
            <color indexed="81"/>
            <rFont val="Tahoma"/>
            <family val="2"/>
          </rPr>
          <t xml:space="preserve">
Correspond à des actifs non monétaires sans substance physique. Par exemple : un logiciel, un brevet, une application informatique, un fonds de commerce...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 xml:space="preserve">Informations :
</t>
        </r>
        <r>
          <rPr>
            <sz val="9"/>
            <color indexed="81"/>
            <rFont val="Tahoma"/>
            <family val="2"/>
          </rPr>
          <t xml:space="preserve">Correspond à des actifs physiques. Par exemple : un véhicule, un équipement, un bâtiment, un matériel, du mobilier...
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 xml:space="preserve">Informations :
</t>
        </r>
        <r>
          <rPr>
            <sz val="9"/>
            <color indexed="81"/>
            <rFont val="Tahoma"/>
            <family val="2"/>
          </rPr>
          <t xml:space="preserve">Correspond à des actifs financiers durables, comme des titres de société ou une caution par exemple.
</t>
        </r>
      </text>
    </comment>
  </commentList>
</comments>
</file>

<file path=xl/sharedStrings.xml><?xml version="1.0" encoding="utf-8"?>
<sst xmlns="http://schemas.openxmlformats.org/spreadsheetml/2006/main" count="2184" uniqueCount="710">
  <si>
    <t>Prévisionnel financier</t>
  </si>
  <si>
    <t>Nom de l'entreprise</t>
  </si>
  <si>
    <t>Sous-traitance</t>
  </si>
  <si>
    <t>Fournitures administratives</t>
  </si>
  <si>
    <t>Fourniture d'entretien et de petit équipement</t>
  </si>
  <si>
    <t>TVA</t>
  </si>
  <si>
    <t>Vétêment de travail</t>
  </si>
  <si>
    <t>Fournitures consommables</t>
  </si>
  <si>
    <t>Locations immobilières</t>
  </si>
  <si>
    <t>Locations mobilières</t>
  </si>
  <si>
    <t>Charges locatives et de copropriété</t>
  </si>
  <si>
    <t>Maintenance</t>
  </si>
  <si>
    <t>Etudes et recherches</t>
  </si>
  <si>
    <t>Frais d'actes et de contentieux</t>
  </si>
  <si>
    <t>Divers</t>
  </si>
  <si>
    <t>Annonces et insertions</t>
  </si>
  <si>
    <t>Cadeaux à la clientèle</t>
  </si>
  <si>
    <t>Catalogues et imprimés</t>
  </si>
  <si>
    <t>Publications</t>
  </si>
  <si>
    <t>Services bancaires et assimilés</t>
  </si>
  <si>
    <t>TOTAL</t>
  </si>
  <si>
    <t>Stock de départ</t>
  </si>
  <si>
    <t>Stock de fin d'année</t>
  </si>
  <si>
    <t>Marge commerciale</t>
  </si>
  <si>
    <t>Total Chiffre d'affaires HT</t>
  </si>
  <si>
    <t>Activité</t>
  </si>
  <si>
    <t>Variation de stock</t>
  </si>
  <si>
    <t>NOTICE :</t>
  </si>
  <si>
    <t>Total charges externes</t>
  </si>
  <si>
    <t>%age d'évolution</t>
  </si>
  <si>
    <t>Taux de TVA</t>
  </si>
  <si>
    <t>Immobilisations financières</t>
  </si>
  <si>
    <t>Immobilisations incorporelles</t>
  </si>
  <si>
    <t>Immobilisations corporelles</t>
  </si>
  <si>
    <t>ENCAISSEMENTS</t>
  </si>
  <si>
    <t>Clients</t>
  </si>
  <si>
    <t>Apport en capital</t>
  </si>
  <si>
    <t>Emprunts</t>
  </si>
  <si>
    <t>Apports en compte courant</t>
  </si>
  <si>
    <t>TOTAL ENCAISSEMENTS</t>
  </si>
  <si>
    <t>Frais généraux</t>
  </si>
  <si>
    <t>Impôt sur les bénéfices</t>
  </si>
  <si>
    <t>Autres impôts et taxes</t>
  </si>
  <si>
    <t>Remboursement emprunts</t>
  </si>
  <si>
    <t>Remb. comptes courants</t>
  </si>
  <si>
    <t>Variation trésorerie</t>
  </si>
  <si>
    <t>SOLDE Trésorerie</t>
  </si>
  <si>
    <t>TOTAL Décaissements</t>
  </si>
  <si>
    <t>Salarié 1</t>
  </si>
  <si>
    <t>Salarié 2</t>
  </si>
  <si>
    <t>Achats de marchandises</t>
  </si>
  <si>
    <t>% variation</t>
  </si>
  <si>
    <t xml:space="preserve">Entretien et réparations </t>
  </si>
  <si>
    <t>Résultat de l'exercice</t>
  </si>
  <si>
    <t>Impôts sur les bénéfices</t>
  </si>
  <si>
    <t>TVA collectée</t>
  </si>
  <si>
    <t>Carburant</t>
  </si>
  <si>
    <t>Electricité</t>
  </si>
  <si>
    <t>Eau</t>
  </si>
  <si>
    <t>Gaz</t>
  </si>
  <si>
    <t>Documentation générale</t>
  </si>
  <si>
    <t>Documentation technique</t>
  </si>
  <si>
    <t>Frais de colloques, séminaires, conférences</t>
  </si>
  <si>
    <t>Personnel intérimaire</t>
  </si>
  <si>
    <t>Personnel détaché ou prêté à l'entreprise</t>
  </si>
  <si>
    <t>Commissions et courtages sur achats</t>
  </si>
  <si>
    <t>Commissions et courtages sur ventes</t>
  </si>
  <si>
    <t>Rémunérations des transitaires</t>
  </si>
  <si>
    <t>Rémunérations d'affacturage</t>
  </si>
  <si>
    <t>Frais télécommunications</t>
  </si>
  <si>
    <t>Frais postaux</t>
  </si>
  <si>
    <t>Réceptions</t>
  </si>
  <si>
    <t>Missions</t>
  </si>
  <si>
    <t>Voyages et déplacements</t>
  </si>
  <si>
    <t>DONT 0%</t>
  </si>
  <si>
    <t>Contrôle</t>
  </si>
  <si>
    <t>Total TVA déductible</t>
  </si>
  <si>
    <t>Amortissement</t>
  </si>
  <si>
    <t>Cumul</t>
  </si>
  <si>
    <t>VNC</t>
  </si>
  <si>
    <t>artisan</t>
  </si>
  <si>
    <t>commerçant</t>
  </si>
  <si>
    <t>Emballages</t>
  </si>
  <si>
    <t>Total des produits d'exploitation</t>
  </si>
  <si>
    <t>Autres produits</t>
  </si>
  <si>
    <t>Total des charges d'exploitation</t>
  </si>
  <si>
    <t>Impôts, taxes et versements assimilés</t>
  </si>
  <si>
    <t>Dotations aux amortissements</t>
  </si>
  <si>
    <t>Autres charges</t>
  </si>
  <si>
    <t>Produits financiers</t>
  </si>
  <si>
    <t>Résultat financier</t>
  </si>
  <si>
    <t>Résultat d'exploitation</t>
  </si>
  <si>
    <t>CAPITAUX PROPRES</t>
  </si>
  <si>
    <t>Total des capitaux propres</t>
  </si>
  <si>
    <t>DETTES</t>
  </si>
  <si>
    <t>Comptes courants d'associés</t>
  </si>
  <si>
    <t>Autres dettes</t>
  </si>
  <si>
    <t>Total des dettes</t>
  </si>
  <si>
    <t>TOTAL PASSIF</t>
  </si>
  <si>
    <t>ACTIF IMMOBILISE</t>
  </si>
  <si>
    <t>ACTIF CIRCULANT</t>
  </si>
  <si>
    <t>TOTAL ACTIF</t>
  </si>
  <si>
    <t>Total des immobilisations</t>
  </si>
  <si>
    <t>Amortissements incorporels</t>
  </si>
  <si>
    <t>Amortissements corporels</t>
  </si>
  <si>
    <t>Stocks et en-cours</t>
  </si>
  <si>
    <t>Clients et comptes rattachés</t>
  </si>
  <si>
    <t>Autres créances</t>
  </si>
  <si>
    <t>Total de l'actif circulant</t>
  </si>
  <si>
    <t>Total des amortissements</t>
  </si>
  <si>
    <t>Capital départ</t>
  </si>
  <si>
    <t>Montant des mensualités</t>
  </si>
  <si>
    <t>Nombre d'échéances mensuelles</t>
  </si>
  <si>
    <t>Résultat courant avant impôts</t>
  </si>
  <si>
    <t>Autre</t>
  </si>
  <si>
    <t>Tableau calcul automatique</t>
  </si>
  <si>
    <t>IS</t>
  </si>
  <si>
    <t>IR</t>
  </si>
  <si>
    <t>oui</t>
  </si>
  <si>
    <t>non</t>
  </si>
  <si>
    <t>Régime fiscal :</t>
  </si>
  <si>
    <t>Jours</t>
  </si>
  <si>
    <t>prof.libérale</t>
  </si>
  <si>
    <t>Forme de l'entreprise</t>
  </si>
  <si>
    <t>EURL</t>
  </si>
  <si>
    <t>SASU</t>
  </si>
  <si>
    <t>SAS</t>
  </si>
  <si>
    <t>Entreprise Individuelle</t>
  </si>
  <si>
    <t>SCI</t>
  </si>
  <si>
    <t>Forme juridique</t>
  </si>
  <si>
    <t>marge</t>
  </si>
  <si>
    <t>(ajouter)</t>
  </si>
  <si>
    <t>Frais de comptabilité</t>
  </si>
  <si>
    <t>Frais juridiques</t>
  </si>
  <si>
    <t>Frais de transports sur achats</t>
  </si>
  <si>
    <t>Frais de transports sur ventes</t>
  </si>
  <si>
    <t>Assurances professionnelles</t>
  </si>
  <si>
    <t>Redevances de crédit-bail</t>
  </si>
  <si>
    <t>DONT 20%</t>
  </si>
  <si>
    <t>Paiement de la TVA :</t>
  </si>
  <si>
    <t>Mensuel</t>
  </si>
  <si>
    <t>Trimestriel</t>
  </si>
  <si>
    <t>Annuel</t>
  </si>
  <si>
    <t>Paramétrage de la fiscalité</t>
  </si>
  <si>
    <t>Paramétrage des délais de paiement</t>
  </si>
  <si>
    <t xml:space="preserve">SARL </t>
  </si>
  <si>
    <t>Année 1</t>
  </si>
  <si>
    <t>Année 2</t>
  </si>
  <si>
    <t>Année 3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</si>
  <si>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</si>
  <si>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</si>
  <si>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</si>
  <si>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</si>
  <si>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</si>
  <si>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</si>
  <si>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</si>
  <si>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</si>
  <si>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</si>
  <si>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</si>
  <si>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</si>
  <si>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</si>
  <si>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Chiffre d'affaires prévisionnel et achats marchandises</t>
  </si>
  <si>
    <t>Achats marchandises</t>
  </si>
  <si>
    <t>Seules les cases blanches doivent être utilisées</t>
  </si>
  <si>
    <t>Régime de sécurité sociale des dirigeants</t>
  </si>
  <si>
    <t>Paramétrage des cotisations sociales des dirigeants et des salariés</t>
  </si>
  <si>
    <t>Régime général de la sécurité sociale</t>
  </si>
  <si>
    <t>Sécurité sociale des indépendants (RSI)</t>
  </si>
  <si>
    <t>Taux des cotisations sociales des dirigeants au Régime général</t>
  </si>
  <si>
    <t>Taux des cotisations sociales des dirigeants au RSI</t>
  </si>
  <si>
    <t>Total salaires nets dirigeants</t>
  </si>
  <si>
    <t>Total salaires nets salariés</t>
  </si>
  <si>
    <t>Chiffre d'affaires HT</t>
  </si>
  <si>
    <t>Synthèse</t>
  </si>
  <si>
    <t>Cotisations sociales des dirigeants</t>
  </si>
  <si>
    <t>Cotisations sociales des salariés</t>
  </si>
  <si>
    <t>Rémunérations nettes des dirigeants</t>
  </si>
  <si>
    <t>Rémunérations brutes des salariés</t>
  </si>
  <si>
    <t>Taux des cotisations patronales des salariés au Régime général</t>
  </si>
  <si>
    <t>Taux des cotisations salariales des salariés au Régime général</t>
  </si>
  <si>
    <t>Total salaires bruts salariés</t>
  </si>
  <si>
    <t>Total des cotisations sociales</t>
  </si>
  <si>
    <t>Cotisations patronales</t>
  </si>
  <si>
    <t>Cotisations salariales</t>
  </si>
  <si>
    <t>Total cotisations sociales</t>
  </si>
  <si>
    <t>Rémunérations et cotisations sociales (dirigeants et salariés)</t>
  </si>
  <si>
    <t>Cotisations patronales des salariés</t>
  </si>
  <si>
    <t>Rémunérations nettes des salariés</t>
  </si>
  <si>
    <t>Cotisations salariales des salariés</t>
  </si>
  <si>
    <t>Achat stock de départ HT</t>
  </si>
  <si>
    <t>Stock fin d'année HT</t>
  </si>
  <si>
    <t>Achats de marchandises HT</t>
  </si>
  <si>
    <t>Frais généraux HT</t>
  </si>
  <si>
    <t>Résultat net</t>
  </si>
  <si>
    <t>Résultat avant impôt</t>
  </si>
  <si>
    <t>Charges financières</t>
  </si>
  <si>
    <t>TVA déductible sur frais généraux</t>
  </si>
  <si>
    <t>TVA déductible sur achats de marchandises</t>
  </si>
  <si>
    <t>Solde de TVA</t>
  </si>
  <si>
    <t>Taux de TVA sur les ventes</t>
  </si>
  <si>
    <t>Taux de TVA sur les achats de marchandises</t>
  </si>
  <si>
    <t>Paiement mensuel</t>
  </si>
  <si>
    <t>Paiement trimestriel</t>
  </si>
  <si>
    <t>Paiement annuel</t>
  </si>
  <si>
    <t>Dette bilan</t>
  </si>
  <si>
    <t>Chiffre d'affaires TTC</t>
  </si>
  <si>
    <t>Paiements clients</t>
  </si>
  <si>
    <t>Créance bilan</t>
  </si>
  <si>
    <t>Résultat</t>
  </si>
  <si>
    <t>BILAN PRÉVISIONNEL</t>
  </si>
  <si>
    <t>Exonéré</t>
  </si>
  <si>
    <t>Paiements Fournisseurs achats marchandises</t>
  </si>
  <si>
    <t>Achats de marchandises TTC</t>
  </si>
  <si>
    <t>Délai de paiement (en jours)</t>
  </si>
  <si>
    <t>Etalement de la dépense sur l'année</t>
  </si>
  <si>
    <t>Récapitulatif frais généraux HT par taux TVA</t>
  </si>
  <si>
    <t>Annuel fin d'année</t>
  </si>
  <si>
    <t>Annuel début d'année</t>
  </si>
  <si>
    <t>Fournisseurs Frais généraux</t>
  </si>
  <si>
    <t>Mensuel (délai paiement 0 jour)</t>
  </si>
  <si>
    <t>Mensuel (délai paiement 60 jours)</t>
  </si>
  <si>
    <t>Mensuel (délai paiement 30 jours)</t>
  </si>
  <si>
    <t>Trimestriel (délai paiement 0 jour)</t>
  </si>
  <si>
    <t>Trimestriel (délai paiement 30 jours)</t>
  </si>
  <si>
    <t>Trimestriel (délai paiement 60 jours)</t>
  </si>
  <si>
    <t>Annuel début d'année (délai paiement 0 jour)</t>
  </si>
  <si>
    <t>Annuel début d'année (délai paiement 30 jours)</t>
  </si>
  <si>
    <t>Annuel début d'année (délai paiement 60 jours)</t>
  </si>
  <si>
    <t>Annuel fin d'année (délai paiement 0 jour)</t>
  </si>
  <si>
    <t>Annuel fin d'année (délai paiement 30 jours)</t>
  </si>
  <si>
    <t>Annuel fin d'année (délai paiement 60 jours)</t>
  </si>
  <si>
    <t>Fournisseurs achats marchandises</t>
  </si>
  <si>
    <t>Frais généraux mensuels TTC</t>
  </si>
  <si>
    <t>Frais généraux trimestriels TTC</t>
  </si>
  <si>
    <t>Frais généraux annuel début d'année TTC</t>
  </si>
  <si>
    <t>Frais généraux annuel fin d'année TTC</t>
  </si>
  <si>
    <t>Paiement frais généraux mensuels TTC</t>
  </si>
  <si>
    <t>Paiement frais généraux trimestriels TTC</t>
  </si>
  <si>
    <t>Paiement frais généraux annuel début d'année TTC</t>
  </si>
  <si>
    <t>Paiement frais généraux annuel fin d'année TTC</t>
  </si>
  <si>
    <t>Total</t>
  </si>
  <si>
    <t>Paiements total frais généraux TTC</t>
  </si>
  <si>
    <t>Dette totale au bilan</t>
  </si>
  <si>
    <t>Fournisseurs achats</t>
  </si>
  <si>
    <t>Fournisseurs frais généraux</t>
  </si>
  <si>
    <t>Chiffre d'affaires</t>
  </si>
  <si>
    <t>Pourcentage de marge</t>
  </si>
  <si>
    <t>Marchandises vendues</t>
  </si>
  <si>
    <t>Montant HT du stock moyen en euros</t>
  </si>
  <si>
    <t>Achat HT stock de départ en euros</t>
  </si>
  <si>
    <t>COMPTE DE RÉSULTAT PRÉVISIONNEL</t>
  </si>
  <si>
    <t>Financements et apports</t>
  </si>
  <si>
    <t>Apport en capital social</t>
  </si>
  <si>
    <t>Avances en compte courant d'associé</t>
  </si>
  <si>
    <t>Total des apports</t>
  </si>
  <si>
    <t>Remboursements compte courant d'associé</t>
  </si>
  <si>
    <t>Solde en compte courant d'associé</t>
  </si>
  <si>
    <t>APPORT EN CAPITAL ET APPORTS EN COMPTE COURANT D'ASSOCIÉ</t>
  </si>
  <si>
    <t>Mois souscription</t>
  </si>
  <si>
    <t xml:space="preserve">Intitulé emprunt </t>
  </si>
  <si>
    <t>EMPRUNTS</t>
  </si>
  <si>
    <t>Emprunt 1</t>
  </si>
  <si>
    <t>Emprunt 2</t>
  </si>
  <si>
    <t>Emprunt 3</t>
  </si>
  <si>
    <t>Année de souscription de l'emprunt</t>
  </si>
  <si>
    <t>Mois</t>
  </si>
  <si>
    <t>Échéance</t>
  </si>
  <si>
    <t>Intérêts</t>
  </si>
  <si>
    <t>Remb capital</t>
  </si>
  <si>
    <t>Capital restant dû avant échéance</t>
  </si>
  <si>
    <t>Capital restant dû après échéance</t>
  </si>
  <si>
    <t>Montant</t>
  </si>
  <si>
    <t>Taux d'intérêt annuel</t>
  </si>
  <si>
    <t>Taux d'intérêt mensuel</t>
  </si>
  <si>
    <t>Nombre d'échéances</t>
  </si>
  <si>
    <t>Année de souscription</t>
  </si>
  <si>
    <t>Mois de souscription</t>
  </si>
  <si>
    <t>Montant Emprunt</t>
  </si>
  <si>
    <t>Charges financières année 1</t>
  </si>
  <si>
    <t>Charges financières année 2</t>
  </si>
  <si>
    <t>Charges financières année 3</t>
  </si>
  <si>
    <t>Dette bilan année 1</t>
  </si>
  <si>
    <t>Dette bilan année 2</t>
  </si>
  <si>
    <t>Dette bilan année 3</t>
  </si>
  <si>
    <t>Charges financières totales année 1</t>
  </si>
  <si>
    <t>Charges financières totales année 2</t>
  </si>
  <si>
    <t>Charges financières totales année 3</t>
  </si>
  <si>
    <t>Dette bilan totale année 1</t>
  </si>
  <si>
    <t>Dette bilan totale année 2</t>
  </si>
  <si>
    <t>Dette bilan totale année 3</t>
  </si>
  <si>
    <t>TABLEAU DE TRÉSORERIE PRÉVISIONNEL</t>
  </si>
  <si>
    <t>DÉCAISSEMENTS</t>
  </si>
  <si>
    <t>Rémunérations des salariés</t>
  </si>
  <si>
    <t>Paiement de la TVA</t>
  </si>
  <si>
    <t>Fournisseurs investissements</t>
  </si>
  <si>
    <t>Souscription d'emprunts</t>
  </si>
  <si>
    <t>Trésorerie</t>
  </si>
  <si>
    <t>(intitulé chiffre d'affaires 1)</t>
  </si>
  <si>
    <t>(intitulé chiffre d'affaires 2)</t>
  </si>
  <si>
    <t>(intitulé chiffre d'affaires 3)</t>
  </si>
  <si>
    <t>(intitulé chiffre d'affaires 4)</t>
  </si>
  <si>
    <t>ACTIF</t>
  </si>
  <si>
    <t>PASSIF</t>
  </si>
  <si>
    <t>Réserves et report à nouveau</t>
  </si>
  <si>
    <t>Décaissement TVA</t>
  </si>
  <si>
    <t>Dette au bilan</t>
  </si>
  <si>
    <t>Remboursement crédit TVA</t>
  </si>
  <si>
    <t>Salaires nets dirigeants</t>
  </si>
  <si>
    <t>Salaires nets salariés</t>
  </si>
  <si>
    <t>Cotisations sociales RSI année 1 par dirigeant</t>
  </si>
  <si>
    <t>Nombre de dirigeants</t>
  </si>
  <si>
    <t>Prénom et nom dirigeant 1</t>
  </si>
  <si>
    <t>Prénom et nom dirigeant 2</t>
  </si>
  <si>
    <t>Prénom et nom dirigeant 3</t>
  </si>
  <si>
    <t>Prénom et nom dirigeant 4</t>
  </si>
  <si>
    <t>Prénom et nom dirigeant 5</t>
  </si>
  <si>
    <t>Cotisations sociales RSI année 1 pour tous les dirigeants</t>
  </si>
  <si>
    <t>Paiement des cotisations au RSI</t>
  </si>
  <si>
    <t>Paiement des cotisations au Régime général</t>
  </si>
  <si>
    <t>Paiements des cotisations sociales RSI (mensuel)</t>
  </si>
  <si>
    <t>Paiements des cotisations sociales RSI (trimestriel)</t>
  </si>
  <si>
    <t xml:space="preserve">Paiements des cotisations sociales RSI </t>
  </si>
  <si>
    <t>Dettes cotisations sociales RSI au bilan</t>
  </si>
  <si>
    <t>Cotisations sociales minimales RSI par an</t>
  </si>
  <si>
    <t>Créances cotisations sociales RSI au bilan</t>
  </si>
  <si>
    <t>Salaires et cotisations sociales des dirigeants</t>
  </si>
  <si>
    <t>Paiements des cotisations sociales régime général (mensuel)</t>
  </si>
  <si>
    <t>Paiements des cotisations sociales régime général (trimestriel)</t>
  </si>
  <si>
    <t>Paiements des cotisations sociales régime général</t>
  </si>
  <si>
    <t>Dettes cotisations sociales régime général  au bilan</t>
  </si>
  <si>
    <t>Cotisations sociales RSI payées en année 2 pour tous les dirigeants</t>
  </si>
  <si>
    <t>Cotisations sociales RSI calculées année 2 pour tous les dirigeants</t>
  </si>
  <si>
    <t>Total cotisations sociales à payer année 2</t>
  </si>
  <si>
    <t>Régularisation cotisations sociales RSI à payer année 1</t>
  </si>
  <si>
    <t>Cotisations sociales RSI payées en année 3 pour tous les dirigeants</t>
  </si>
  <si>
    <t>Régularisation cotisations sociales RSI à payer année 2</t>
  </si>
  <si>
    <t xml:space="preserve">Remboursements des cotisations sociales RSI </t>
  </si>
  <si>
    <t>Cotisations sociales RSI calculées année 3 pour tous les dirigeants</t>
  </si>
  <si>
    <t>Total cotisations sociales à payer année 3</t>
  </si>
  <si>
    <t>Salaires et cotisations sociales des salariés</t>
  </si>
  <si>
    <t>Cotisations sociales RSI calculées année 1 pour tous les dirigeants</t>
  </si>
  <si>
    <t>Dettes sociales dirigeants</t>
  </si>
  <si>
    <t>Dettes sociales salariés</t>
  </si>
  <si>
    <t>Créances sociales</t>
  </si>
  <si>
    <t>RÉSULTAT DE L'EXERCICE</t>
  </si>
  <si>
    <t>Salaires bruts des salariés</t>
  </si>
  <si>
    <t>Salaires nets des dirigeants</t>
  </si>
  <si>
    <t>Cotisations sociales régime général calculées année 2 pour tous les dirigeants</t>
  </si>
  <si>
    <t>Cotisations sociales régime général calculées année 1 pour tous les dirigeants</t>
  </si>
  <si>
    <t>Cotisations sociales régime général calculées année 3 pour tous les dirigeants</t>
  </si>
  <si>
    <t>Remboursement cotisations sociales</t>
  </si>
  <si>
    <t>Rémunérations des dirigeants</t>
  </si>
  <si>
    <t>,</t>
  </si>
  <si>
    <t>Montant HT</t>
  </si>
  <si>
    <t>Année</t>
  </si>
  <si>
    <t>Durée d'utilisation (en mois)</t>
  </si>
  <si>
    <t>Investissement incorporels</t>
  </si>
  <si>
    <t>Investissements corporels</t>
  </si>
  <si>
    <t>Investissements financiers</t>
  </si>
  <si>
    <t>TOTAL DES INVESTISSEMENTS</t>
  </si>
  <si>
    <t>Investissements</t>
  </si>
  <si>
    <t>AIDE ET RESSOURCES :</t>
  </si>
  <si>
    <t>Informations générales</t>
  </si>
  <si>
    <t>Caractéristiques de l'entreprise</t>
  </si>
  <si>
    <t>Investissements incorporels</t>
  </si>
  <si>
    <t>Investissements et amortissements</t>
  </si>
  <si>
    <t>Acquisition</t>
  </si>
  <si>
    <t>Durée utilisation en mois</t>
  </si>
  <si>
    <t>TOTAL IMMOBILISATIONS</t>
  </si>
  <si>
    <t>Amortissement mensuel</t>
  </si>
  <si>
    <t>Nb de mois</t>
  </si>
  <si>
    <t>Mois restants</t>
  </si>
  <si>
    <t>Dotation aux amortissements</t>
  </si>
  <si>
    <t>Amortissements cumulés</t>
  </si>
  <si>
    <t>Valeur d'acquisition</t>
  </si>
  <si>
    <t xml:space="preserve">Marge </t>
  </si>
  <si>
    <t>Investissements TTC</t>
  </si>
  <si>
    <t>Montant TTC</t>
  </si>
  <si>
    <t>Paiements</t>
  </si>
  <si>
    <t>TVA déductible sur investissements</t>
  </si>
  <si>
    <t>TVA déductible</t>
  </si>
  <si>
    <t>Année 1 TTC</t>
  </si>
  <si>
    <t>Année 2 TTC</t>
  </si>
  <si>
    <t>Année 3 TTC</t>
  </si>
  <si>
    <t>Etalement dépense</t>
  </si>
  <si>
    <t>Récapitulatif frais généraux TTC par étalement</t>
  </si>
  <si>
    <t>Pour que l'outil prévisionnel fonctionne correctement, vous devez compléter toutes les informations demandées dans l'onglet "Caractéristiques"</t>
  </si>
  <si>
    <t>PRÉVISIONNEL FINANCIER : Présentation et Guide d'utilisation</t>
  </si>
  <si>
    <t>Aide et informations</t>
  </si>
  <si>
    <t>NOTICE</t>
  </si>
  <si>
    <t>Le régime de sécurité sociale du dirigeant</t>
  </si>
  <si>
    <t>Estimateurs des cotisations sociales URSSAF</t>
  </si>
  <si>
    <t>Choix du statut juridique de l'entreprise</t>
  </si>
  <si>
    <t>Choix du régime de TVA de l'entreprise</t>
  </si>
  <si>
    <t>Choix entre l'IR et l'IS pour les bénéfices</t>
  </si>
  <si>
    <t>Les immobilisations en comptabilité</t>
  </si>
  <si>
    <t>Les amortissements prévisionnels</t>
  </si>
  <si>
    <t>Le chiffre d'affaires prévisionnel</t>
  </si>
  <si>
    <t>La marge commerciale</t>
  </si>
  <si>
    <t>Financement d'une création d'entreprise</t>
  </si>
  <si>
    <t>Les apports en capital</t>
  </si>
  <si>
    <t>Le compte courant d'associé</t>
  </si>
  <si>
    <t>Vous avez besoin d'un financement ? Le coin des entrepreneurs peut vous accompagner :</t>
  </si>
  <si>
    <t>Financer son projet de création / reprise d'entreprise</t>
  </si>
  <si>
    <t xml:space="preserve">Si vous le souhaitez, vous pouvez forcer les montants en année 2 et 3. </t>
  </si>
  <si>
    <t>Les charges externes</t>
  </si>
  <si>
    <t>Les frais de création d'entreprise</t>
  </si>
  <si>
    <t xml:space="preserve">Marche à suivre pour utiliser l'outil </t>
  </si>
  <si>
    <t xml:space="preserve">Consignes d'utilisation </t>
  </si>
  <si>
    <t>Outil gratuit excel de réalisation d'un prévisionnel financier</t>
  </si>
  <si>
    <t>Seules les cases en blanche des onglets de travail (onglets bleus) doivent être utilisés. À défaut, l'outil risque d'être inutilisable</t>
  </si>
  <si>
    <t>Valider votre prévisionnel financier</t>
  </si>
  <si>
    <t>Une fois que vous avez terminé de compléter le fichier, nous vous conseillons de vérifier votre prévisionnel avec un professionnel (votre expert-comptable par exemple)</t>
  </si>
  <si>
    <t>En effet, cet outil vous est proposé gratuitement. En cas d'erreurs, nous ne saurions être tenus pour responsable des conséquences éventuelles</t>
  </si>
  <si>
    <t>Propriété de l'outil</t>
  </si>
  <si>
    <t xml:space="preserve">Cet outil a été élaboré par la société F.C.I.C. L'utilisateur ne peut en aucun cas utiliser l'outil à des fins autres que la réalisation de son prévisionnel financier. </t>
  </si>
  <si>
    <t>En cas de besoin, nos partenaires experts-comptables peuvent vous accompagner pour valider votre prévisionnel et vous conseiller sur votre projet</t>
  </si>
  <si>
    <t>Je contacte un expert-comptable</t>
  </si>
  <si>
    <t>Les délais de paiement entre professionnels</t>
  </si>
  <si>
    <t>Autres informations à intégrer dans le prévisionnel</t>
  </si>
  <si>
    <t>Cotisation foncière des entreprises</t>
  </si>
  <si>
    <t>Fiscalité</t>
  </si>
  <si>
    <t>Montant de la CFE</t>
  </si>
  <si>
    <t>Paiement de la CFE</t>
  </si>
  <si>
    <t>(intitulé autres charges 1)</t>
  </si>
  <si>
    <t>(intitulé autres charges 2)</t>
  </si>
  <si>
    <t>(intitulé autres charges 3)</t>
  </si>
  <si>
    <t>(intitulé autres charges 4)</t>
  </si>
  <si>
    <t>(intitulé autres charges 5)</t>
  </si>
  <si>
    <t>(intitulé autres charges 6)</t>
  </si>
  <si>
    <t>(intitulé autres charges 7)</t>
  </si>
  <si>
    <t>(intitulé autres charges 8)</t>
  </si>
  <si>
    <t>(intitulé autres charges 9)</t>
  </si>
  <si>
    <t>(intitulé autres charges 10)</t>
  </si>
  <si>
    <t>Total autres charges</t>
  </si>
  <si>
    <t>Total hors taxes</t>
  </si>
  <si>
    <t>Montant HT soumise à TVA à 20%</t>
  </si>
  <si>
    <t>Montant HT soumis à TVA à 0%</t>
  </si>
  <si>
    <t>Total TTC</t>
  </si>
  <si>
    <t>Paiement TTC autres charges</t>
  </si>
  <si>
    <t>TVA déductibles sur autres charges</t>
  </si>
  <si>
    <t>Autres décaissements</t>
  </si>
  <si>
    <t>(intitulé autres produits 1)</t>
  </si>
  <si>
    <t>(intitulé autres produits 2)</t>
  </si>
  <si>
    <t>(intitulé autres produits 3)</t>
  </si>
  <si>
    <t>(intitulé autres produits 4)</t>
  </si>
  <si>
    <t>(intitulé autres produits 5)</t>
  </si>
  <si>
    <t>(intitulé autres produits 6)</t>
  </si>
  <si>
    <t>(intitulé autres produits 7)</t>
  </si>
  <si>
    <t>(intitulé autres produits 8)</t>
  </si>
  <si>
    <t>(intitulé autres produits 9)</t>
  </si>
  <si>
    <t>(intitulé autres produits 10)</t>
  </si>
  <si>
    <t>Total autres produits</t>
  </si>
  <si>
    <t>Paiement TTC autres produits</t>
  </si>
  <si>
    <t>Autres encaissements</t>
  </si>
  <si>
    <t>TVA collectée autres produits</t>
  </si>
  <si>
    <t>Cet outil ne propose qu'un seul régime d'imposition des bénéfices (l'impôt sur les sociétés)</t>
  </si>
  <si>
    <t xml:space="preserve">Résultat imposable </t>
  </si>
  <si>
    <t>Taux réduit IS à 15%</t>
  </si>
  <si>
    <t>Taux normal IS à 28%</t>
  </si>
  <si>
    <t>Déficit reportable</t>
  </si>
  <si>
    <t>TOTAL IS</t>
  </si>
  <si>
    <t>paiement IS</t>
  </si>
  <si>
    <t>Créance au bilan</t>
  </si>
  <si>
    <t>Prévisions financières sur 3 exercices de 12 mois</t>
  </si>
  <si>
    <t>SYNTHÈSE</t>
  </si>
  <si>
    <t>Performances économiques</t>
  </si>
  <si>
    <t>Capitaux propres</t>
  </si>
  <si>
    <t>Endettement</t>
  </si>
  <si>
    <t>Endettement net</t>
  </si>
  <si>
    <t>Taux d'endettement</t>
  </si>
  <si>
    <t>Capacité d'endettement</t>
  </si>
  <si>
    <t>Besoin en fonds de roulement</t>
  </si>
  <si>
    <t>Indicateurs financiers</t>
  </si>
  <si>
    <t>Fonds de roulement net global</t>
  </si>
  <si>
    <t>Taux de rentabilité</t>
  </si>
  <si>
    <t>Accéder aux tableaux financiers du prévisionnel :</t>
  </si>
  <si>
    <t>Compte de résultat prévisionnel</t>
  </si>
  <si>
    <t>Bilan prévisionnel</t>
  </si>
  <si>
    <t>Budget de trésorerie prévisionnel</t>
  </si>
  <si>
    <t xml:space="preserve">Délai de rotation des stocks (en jours) </t>
  </si>
  <si>
    <t xml:space="preserve">Délai règlement fournisseurs investissements (en jours) </t>
  </si>
  <si>
    <t xml:space="preserve">Délai règlement fournisseurs achats (en jours) </t>
  </si>
  <si>
    <t xml:space="preserve">Délai de règlement des clients (en jours) </t>
  </si>
  <si>
    <t>Liens pour vous informer</t>
  </si>
  <si>
    <t>À compléter</t>
  </si>
  <si>
    <t>(Mettre l'intitulé de chaque investissement)</t>
  </si>
  <si>
    <t>Artisanat</t>
  </si>
  <si>
    <t>Coaching</t>
  </si>
  <si>
    <t>Commerce de détail</t>
  </si>
  <si>
    <t>Commerce de gros</t>
  </si>
  <si>
    <t>Conseil</t>
  </si>
  <si>
    <t>Communication et marketing</t>
  </si>
  <si>
    <t>Gestion administrative</t>
  </si>
  <si>
    <t>Industrie</t>
  </si>
  <si>
    <t>Informatique et web</t>
  </si>
  <si>
    <t>Prestation de services</t>
  </si>
  <si>
    <t>Hôtellerie - restauration</t>
  </si>
  <si>
    <t>Services à la personne</t>
  </si>
  <si>
    <t>Autre activité</t>
  </si>
  <si>
    <t>E-commerce</t>
  </si>
  <si>
    <t>Construction, bâtiment, travaux publics</t>
  </si>
  <si>
    <t>Banque, assurances, services financiers</t>
  </si>
  <si>
    <t>Transport de personnes</t>
  </si>
  <si>
    <t>Transport de marchandises</t>
  </si>
  <si>
    <t>Enseignement et formation</t>
  </si>
  <si>
    <t>Immobilier</t>
  </si>
  <si>
    <t>Fabrication et production</t>
  </si>
  <si>
    <t>Tourisme</t>
  </si>
  <si>
    <t>Énergie</t>
  </si>
  <si>
    <t>Sports et loisirs</t>
  </si>
  <si>
    <t>Avez-vous besoin d'un financement extérieur (prêt, crowdfunding…) ?</t>
  </si>
  <si>
    <t>Réussir une demande de financement</t>
  </si>
  <si>
    <t>Pour obtenir un financement dans le cadre de votre projet, vous avez besoin d'un minimum d'apports personnels (au moins 20%) et d'un projet viable économiquement et financièrement.</t>
  </si>
  <si>
    <t>Un entrepreneur peut être affilié au RSI ou au régime général de la sécurité sociale.</t>
  </si>
  <si>
    <t>Ce taux est appliqué sur la rémunération nette. Vous pouvez le modifier.</t>
  </si>
  <si>
    <t>Les cotisations sociales au RSI peuvent être payées, au choix, mensuellement ou trimestriellement.</t>
  </si>
  <si>
    <t>Ce taux est appliqué sur la rémunération nette du dirigeant. Il englobe les cotisations salariales et les cotisations patronales. Vous pouvez le modifier.</t>
  </si>
  <si>
    <t>Ce taux est appliqué sur la rémunération brute du salarié. Après déduction des cotisations salariés, on obtient le salaire net. Vous pouvez le modifier.</t>
  </si>
  <si>
    <t>Ce taux est appliqué sur la rémunération brute du salarié. Vous pouvez le modifier.</t>
  </si>
  <si>
    <t>Les cotisations sociales au régime général peuvent être payées, au choix, mensuellement ou trimestriellement.</t>
  </si>
  <si>
    <t>Il existe plusieurs régimes de TVA. Le choix impacte les modalités de reversement de la TVA à l'État.</t>
  </si>
  <si>
    <t>Selon la réglementation, les délais de paiement entre professionnels ne peuvent pas excéder 60 jours à compter de la date de facture.</t>
  </si>
  <si>
    <t>Département de votre entreprise</t>
  </si>
  <si>
    <t>1 - Ain</t>
  </si>
  <si>
    <t>2 - Aisne</t>
  </si>
  <si>
    <t>3 - Allier</t>
  </si>
  <si>
    <t>4 - Alpes-de-Haute-Provence</t>
  </si>
  <si>
    <t>5 - Hautes-Alpes</t>
  </si>
  <si>
    <t>6 - Alpes-Maritimes</t>
  </si>
  <si>
    <t>7 - Ardèche</t>
  </si>
  <si>
    <t>8 - Ardennes</t>
  </si>
  <si>
    <t>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</si>
  <si>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</si>
  <si>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</si>
  <si>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</si>
  <si>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</si>
  <si>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</si>
  <si>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</si>
  <si>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</si>
  <si>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</si>
  <si>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</si>
  <si>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</si>
  <si>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2A - Corse-du-Sud</t>
  </si>
  <si>
    <t>2B - Haute-Corse</t>
  </si>
  <si>
    <t>21 - Côte-d'Or</t>
  </si>
  <si>
    <t>22 - Côtes d'Armor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</si>
  <si>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</si>
  <si>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</si>
  <si>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</si>
  <si>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</si>
  <si>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</si>
  <si>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</si>
  <si>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</si>
  <si>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</si>
  <si>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</si>
  <si>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</si>
  <si>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</si>
  <si>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</si>
  <si>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</si>
  <si>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</si>
  <si>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</si>
  <si>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</si>
  <si>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</si>
  <si>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</si>
  <si>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</si>
  <si>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</si>
  <si>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</si>
  <si>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</si>
  <si>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</si>
  <si>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</si>
  <si>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</si>
  <si>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</si>
  <si>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</si>
  <si>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</si>
  <si>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</si>
  <si>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</si>
  <si>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</si>
  <si>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</si>
  <si>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</si>
  <si>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</si>
  <si>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</si>
  <si>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</si>
  <si>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</si>
  <si>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</si>
  <si>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</si>
  <si>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</si>
  <si>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</si>
  <si>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</si>
  <si>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</si>
  <si>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</si>
  <si>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</si>
  <si>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</si>
  <si>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69 - Rhône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</si>
  <si>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</si>
  <si>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</si>
  <si>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</si>
  <si>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</si>
  <si>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</si>
  <si>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</si>
  <si>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</si>
  <si>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</si>
  <si>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</si>
  <si>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</si>
  <si>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</si>
  <si>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</si>
  <si>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82 - Tarn-et-Garonne</t>
  </si>
  <si>
    <t>83 - Var</t>
  </si>
  <si>
    <t>84 - Vaucluse</t>
  </si>
  <si>
    <t>85 - Vandée</t>
  </si>
  <si>
    <t>86 - Vienne</t>
  </si>
  <si>
    <t>87 - Haute-Vienne</t>
  </si>
  <si>
    <t>88 - Vosges</t>
  </si>
  <si>
    <t>89 - Yonne</t>
  </si>
  <si>
    <t>90 - Territoire de Belfort</t>
  </si>
  <si>
    <t>91 - Essonne</t>
  </si>
  <si>
    <t>92 - Hauts-de-Seine</t>
  </si>
  <si>
    <t>93 - Seine-St-Denis</t>
  </si>
  <si>
    <t>94 - Val-de-Marne</t>
  </si>
  <si>
    <t>95 - Val-D'Oise</t>
  </si>
  <si>
    <t>EXEMPLE</t>
  </si>
  <si>
    <t>Véhicule utilitaire peugeot</t>
  </si>
  <si>
    <t>Taux de TVA sur achat</t>
  </si>
  <si>
    <t xml:space="preserve">Un investissement (ou une immobilisation) correspond à un actif inscrit au bilan. Sa valeur est supérieure à 500 euros hors taxes. </t>
  </si>
  <si>
    <t>Les biens ayant une valeur unitaire hors taxes inférieure à 500 euros peuvent être inscrit en charges (onglet Frais généraux).</t>
  </si>
  <si>
    <t xml:space="preserve">2) Saisissez vos informations pour chaque investissement (colonne C à H). </t>
  </si>
  <si>
    <t>Taux de TVA sur la dépense</t>
  </si>
  <si>
    <t>2) Renseignez le pourcentage d'évolution des frais en année 2 et 3 (Colonne D et F).</t>
  </si>
  <si>
    <t>1) Renseignez le montant hors taxes vos frais généraux en euros en année 1 (colonne C).</t>
  </si>
  <si>
    <t>Si vous créez une société, un apport en capital est obligatoire dès la constitution. Vous devez donc compléter la case C16</t>
  </si>
  <si>
    <t>3) Si vous prévyez de souscrire un ou plusieurs emprunts, vous devez compléter le tableau emprunt (case B42 à G44).</t>
  </si>
  <si>
    <t>1) Saisissez vos apports en capital sur les 3 années de prévisions (ligne 18, 25 et 32).</t>
  </si>
  <si>
    <t>La case C18 regroupe les apports lors de la création de l'entreprise. Les autres cases doivent être utilisées pour les augmentation de capital social.</t>
  </si>
  <si>
    <t>2) Si vous créez une société, vous pouvez réaliser des apports en compte courant (ligne 19, 26 et 33).</t>
  </si>
  <si>
    <t>Les remboursements d'apports en compte courant sont à renseigner sur les lignes 21, 28 et 35.</t>
  </si>
  <si>
    <t>Les intitulés peuvent être modifiés (colonne B).</t>
  </si>
  <si>
    <t>3) Renseignez le taux de TVA des frais généraux (20% par défaut).</t>
  </si>
  <si>
    <t>4) Renseignez l'étalement des frais généraux (la fréquence) sur l'année dans la colonne I (Mensuel par défaut).</t>
  </si>
  <si>
    <t>5) Renseignez le délai de paiement de chaque frais généraux dans la colonne J (0 jours par défaut).</t>
  </si>
  <si>
    <t>1) Saisissez le salaire net en euros de chaque dirigeant, mois par mois, personne par personne (Colonne C à N).</t>
  </si>
  <si>
    <t>Les cotisations sociales sont calculées directement en fonction des informations renseignées dans l'onglet "caractéristiques".</t>
  </si>
  <si>
    <t>2) Saisissez le salaire brut en euros de chaque salarié, mois par mois, personne par personne (colonne C à N).</t>
  </si>
  <si>
    <t>Vous pouvez indiquer le nom de chaque salarié (ou l'intitulé du poste) dans la colonne B.</t>
  </si>
  <si>
    <t>Cet onglet doit être utilisé pour indiquer les informations non renseignées dans les onglets précédents.</t>
  </si>
  <si>
    <t>En principe, vous devez au moins renseigné les informations concernant la cotisation foncière des entreprises (CFE).</t>
  </si>
  <si>
    <t>Normalement, vous bénéficiez d'une exonération de CFE sur votre première année d'activité (par défaut, la case C15 est donc à zéro).</t>
  </si>
  <si>
    <t>1) Saisissez votre chiffre d'affaires en euros, mois par mois, sur les 3 années de prévisions financières (Colonne C à N).</t>
  </si>
  <si>
    <t>2) Si vous avez une activité d'achat revente, ou de production, saisissez votre stock de départ (en euros) dans la case D16.</t>
  </si>
  <si>
    <t>3) saisissez votre pourcentage de marge (case D15, E15 et F15). Votre marge doit être comprise entre 0% et 100%.</t>
  </si>
  <si>
    <t>4) Renseigner le montant de votre stock moyen (case D17, E17 et F17). Il s'agit de votre stock minimum sur l'année.</t>
  </si>
  <si>
    <t>1) En colonne B, vous pouvez indiquer l'intitulé de chaque investissement, ligne par ligne.</t>
  </si>
  <si>
    <t>Attention à utiliser les bonnes catégories (incorporels, corporels et financiers). Une définition est proposée sur chaque catégorie).</t>
  </si>
  <si>
    <t>1) Complétez toutes les informations dans la colonne C (cases blanches uniquement).</t>
  </si>
  <si>
    <t>Ces informations sont essentielles pour que le prévisionnel puisse être établi correctement.</t>
  </si>
  <si>
    <t>GRAPHIQUES</t>
  </si>
  <si>
    <t>Évolution de la trésorerie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</si>
  <si>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</si>
  <si>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</si>
  <si>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</si>
  <si>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</si>
  <si>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</si>
  <si>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</si>
  <si>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</si>
  <si>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</si>
  <si>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</si>
  <si>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</si>
  <si>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</si>
  <si>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</si>
  <si>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Mois 25</t>
  </si>
  <si>
    <t>Mois 26</t>
  </si>
  <si>
    <t>Mois 27</t>
  </si>
  <si>
    <t>Mois 28</t>
  </si>
  <si>
    <t>Mois 29</t>
  </si>
  <si>
    <t>Mois 30</t>
  </si>
  <si>
    <t>Mois 31</t>
  </si>
  <si>
    <t>Mois 32</t>
  </si>
  <si>
    <t>Mois 33</t>
  </si>
  <si>
    <t>Mois 34</t>
  </si>
  <si>
    <t>Mois 35</t>
  </si>
  <si>
    <t>Mois 36</t>
  </si>
  <si>
    <t xml:space="preserve">Évolution du chiffre d'affaires </t>
  </si>
  <si>
    <t>Financements demandés sur l'année de création</t>
  </si>
  <si>
    <t>Apports personnels sur l'année de création</t>
  </si>
  <si>
    <t>Pourcentage d'apports personnels</t>
  </si>
  <si>
    <t>Un résultat vert est un indicateur favorable / Un résultat rouge est un indicateur défavorable</t>
  </si>
  <si>
    <t>Appréciation de la cohérence du financement du projet</t>
  </si>
  <si>
    <t>PLAN DE FINANCEMENT</t>
  </si>
  <si>
    <t>Besoins</t>
  </si>
  <si>
    <t>Ressources</t>
  </si>
  <si>
    <t>Immobilisations</t>
  </si>
  <si>
    <t>Apports personnels</t>
  </si>
  <si>
    <t>Compte courant d'associés</t>
  </si>
  <si>
    <t>Financements extérieurs</t>
  </si>
  <si>
    <t>Emprunts bancaires</t>
  </si>
  <si>
    <t>TOTAL DES BESOINS</t>
  </si>
  <si>
    <t>TOTAL DES RESSOURCES</t>
  </si>
  <si>
    <t>Plan de financement initial (Année 1 Mois 1)</t>
  </si>
  <si>
    <t>Trésorerie de départ</t>
  </si>
  <si>
    <t xml:space="preserve">Simulateur de cotisations sociales pour dirigeants
</t>
  </si>
  <si>
    <t>Simulateur de cotisations sociales</t>
  </si>
  <si>
    <r>
      <t xml:space="preserve">2) Consulter et imprimez votre prévisionnel financier </t>
    </r>
    <r>
      <rPr>
        <b/>
        <sz val="11"/>
        <color theme="1"/>
        <rFont val="Calibri"/>
        <family val="2"/>
        <scheme val="minor"/>
      </rPr>
      <t>(7 onglets orange)</t>
    </r>
  </si>
  <si>
    <r>
      <t xml:space="preserve">1) Compléter toutes les informations demandées dans les </t>
    </r>
    <r>
      <rPr>
        <b/>
        <sz val="11"/>
        <color theme="1"/>
        <rFont val="Calibri"/>
        <family val="2"/>
        <scheme val="minor"/>
      </rPr>
      <t>7 onglets bleu</t>
    </r>
  </si>
  <si>
    <r>
      <t xml:space="preserve">Les bénéfices de l'entreprise peuvent être imposés à l'IS ou à l'IR. Les choix possibles dépendent du statut juridique de l'entreprise. </t>
    </r>
    <r>
      <rPr>
        <b/>
        <sz val="10"/>
        <color theme="1"/>
        <rFont val="Calibri"/>
        <family val="2"/>
        <scheme val="minor"/>
      </rPr>
      <t>Cet outil ne gère pas le régime micro-entreprise</t>
    </r>
  </si>
  <si>
    <t>Capital</t>
  </si>
  <si>
    <t>Revenu social avant cotis (IR)</t>
  </si>
  <si>
    <t>Dettes fiscales</t>
  </si>
  <si>
    <t xml:space="preserve">Créances fiscales </t>
  </si>
  <si>
    <t xml:space="preserve">Capital </t>
  </si>
  <si>
    <t>remboursement IS</t>
  </si>
  <si>
    <t>Remboursement crédit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</si>
</sst>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mmmm\-yy;@"/>
    <numFmt numFmtId="165" formatCode="#,##0\ &quot;€&quot;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theme="9" tint="0.59999389629810485"/>
      </patternFill>
    </fill>
    <fill>
      <patternFill patternType="mediumGray"/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mediumGray">
        <bgColor theme="8" tint="0.39997558519241921"/>
      </patternFill>
    </fill>
    <fill>
      <patternFill patternType="solid">
        <fgColor theme="0" tint="-0.14996795556505021"/>
        <bgColor indexed="64"/>
      </patternFill>
    </fill>
    <fill>
      <patternFill patternType="mediumGray">
        <bgColor theme="8" tint="0.79998168889431442"/>
      </patternFill>
    </fill>
    <fill>
      <patternFill patternType="mediumGray">
        <bgColor theme="8" tint="0.59999389629810485"/>
      </patternFill>
    </fill>
    <fill>
      <patternFill patternType="solid">
        <fgColor rgb="FFFF66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mediumGray">
        <bgColor theme="8" tint="0.399945066682943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5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1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11" fillId="0" borderId="0" xfId="0" applyFont="1"/>
    <xf numFmtId="0" fontId="12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44" fontId="0" fillId="2" borderId="1" xfId="1" applyNumberFormat="1" applyFont="1" applyFill="1" applyBorder="1"/>
    <xf numFmtId="44" fontId="0" fillId="4" borderId="1" xfId="1" applyNumberFormat="1" applyFont="1" applyFill="1" applyBorder="1"/>
    <xf numFmtId="43" fontId="1" fillId="2" borderId="1" xfId="0" applyNumberFormat="1" applyFont="1" applyFill="1" applyBorder="1"/>
    <xf numFmtId="0" fontId="1" fillId="2" borderId="1" xfId="0" applyFont="1" applyFill="1" applyBorder="1"/>
    <xf numFmtId="44" fontId="1" fillId="2" borderId="1" xfId="0" applyNumberFormat="1" applyFont="1" applyFill="1" applyBorder="1"/>
    <xf numFmtId="44" fontId="1" fillId="4" borderId="1" xfId="0" applyNumberFormat="1" applyFont="1" applyFill="1" applyBorder="1"/>
    <xf numFmtId="164" fontId="0" fillId="0" borderId="0" xfId="0" applyNumberFormat="1"/>
    <xf numFmtId="164" fontId="0" fillId="0" borderId="1" xfId="0" applyNumberFormat="1" applyBorder="1"/>
    <xf numFmtId="9" fontId="0" fillId="0" borderId="0" xfId="0" applyNumberFormat="1"/>
    <xf numFmtId="9" fontId="17" fillId="0" borderId="1" xfId="0" applyNumberFormat="1" applyFont="1" applyBorder="1" applyAlignment="1">
      <alignment horizontal="right" vertical="center"/>
    </xf>
    <xf numFmtId="9" fontId="17" fillId="0" borderId="3" xfId="0" applyNumberFormat="1" applyFont="1" applyBorder="1" applyAlignment="1">
      <alignment horizontal="right" vertical="center"/>
    </xf>
    <xf numFmtId="9" fontId="17" fillId="0" borderId="6" xfId="0" applyNumberFormat="1" applyFont="1" applyBorder="1" applyAlignment="1">
      <alignment horizontal="right" vertical="center"/>
    </xf>
    <xf numFmtId="9" fontId="17" fillId="8" borderId="1" xfId="0" applyNumberFormat="1" applyFont="1" applyFill="1" applyBorder="1" applyAlignment="1">
      <alignment horizontal="right" vertical="center"/>
    </xf>
    <xf numFmtId="0" fontId="0" fillId="3" borderId="0" xfId="0" applyFill="1"/>
    <xf numFmtId="0" fontId="0" fillId="7" borderId="0" xfId="0" applyFill="1"/>
    <xf numFmtId="0" fontId="0" fillId="0" borderId="0" xfId="0" applyAlignment="1">
      <alignment vertical="center"/>
    </xf>
    <xf numFmtId="0" fontId="0" fillId="9" borderId="0" xfId="0" applyFill="1"/>
    <xf numFmtId="0" fontId="7" fillId="9" borderId="0" xfId="0" applyFont="1" applyFill="1" applyBorder="1" applyAlignment="1">
      <alignment horizontal="center" vertical="center"/>
    </xf>
    <xf numFmtId="0" fontId="0" fillId="9" borderId="0" xfId="0" applyFill="1" applyBorder="1"/>
    <xf numFmtId="0" fontId="0" fillId="9" borderId="0" xfId="0" applyFill="1" applyBorder="1" applyAlignment="1">
      <alignment vertical="center"/>
    </xf>
    <xf numFmtId="0" fontId="2" fillId="0" borderId="1" xfId="0" applyFont="1" applyFill="1" applyBorder="1"/>
    <xf numFmtId="0" fontId="0" fillId="0" borderId="0" xfId="0" applyFill="1"/>
    <xf numFmtId="0" fontId="0" fillId="9" borderId="4" xfId="0" applyFill="1" applyBorder="1"/>
    <xf numFmtId="0" fontId="0" fillId="9" borderId="13" xfId="0" applyFill="1" applyBorder="1"/>
    <xf numFmtId="0" fontId="0" fillId="9" borderId="9" xfId="0" applyFill="1" applyBorder="1"/>
    <xf numFmtId="0" fontId="0" fillId="9" borderId="11" xfId="0" applyFill="1" applyBorder="1"/>
    <xf numFmtId="0" fontId="0" fillId="9" borderId="14" xfId="0" applyFill="1" applyBorder="1"/>
    <xf numFmtId="0" fontId="0" fillId="9" borderId="11" xfId="0" applyFill="1" applyBorder="1" applyAlignment="1">
      <alignment vertical="center"/>
    </xf>
    <xf numFmtId="0" fontId="0" fillId="9" borderId="14" xfId="0" applyFill="1" applyBorder="1" applyAlignment="1">
      <alignment vertical="center"/>
    </xf>
    <xf numFmtId="0" fontId="0" fillId="9" borderId="7" xfId="0" applyFill="1" applyBorder="1"/>
    <xf numFmtId="0" fontId="0" fillId="9" borderId="12" xfId="0" applyFill="1" applyBorder="1"/>
    <xf numFmtId="0" fontId="0" fillId="9" borderId="8" xfId="0" applyFill="1" applyBorder="1"/>
    <xf numFmtId="0" fontId="6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/>
    <xf numFmtId="0" fontId="2" fillId="11" borderId="1" xfId="0" applyFont="1" applyFill="1" applyBorder="1" applyAlignment="1">
      <alignment wrapText="1"/>
    </xf>
    <xf numFmtId="0" fontId="4" fillId="11" borderId="1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42" fontId="0" fillId="0" borderId="1" xfId="0" applyNumberFormat="1" applyBorder="1" applyAlignment="1">
      <alignment horizontal="center"/>
    </xf>
    <xf numFmtId="42" fontId="1" fillId="11" borderId="1" xfId="0" applyNumberFormat="1" applyFont="1" applyFill="1" applyBorder="1"/>
    <xf numFmtId="42" fontId="0" fillId="0" borderId="1" xfId="0" applyNumberFormat="1" applyBorder="1"/>
    <xf numFmtId="42" fontId="1" fillId="11" borderId="1" xfId="0" applyNumberFormat="1" applyFont="1" applyFill="1" applyBorder="1" applyAlignment="1">
      <alignment vertical="center"/>
    </xf>
    <xf numFmtId="42" fontId="0" fillId="5" borderId="1" xfId="0" applyNumberFormat="1" applyFill="1" applyBorder="1"/>
    <xf numFmtId="42" fontId="0" fillId="10" borderId="1" xfId="0" applyNumberFormat="1" applyFill="1" applyBorder="1"/>
    <xf numFmtId="42" fontId="3" fillId="11" borderId="1" xfId="0" applyNumberFormat="1" applyFont="1" applyFill="1" applyBorder="1" applyAlignment="1">
      <alignment vertical="center"/>
    </xf>
    <xf numFmtId="42" fontId="1" fillId="9" borderId="0" xfId="0" applyNumberFormat="1" applyFont="1" applyFill="1" applyBorder="1"/>
    <xf numFmtId="0" fontId="2" fillId="9" borderId="0" xfId="0" applyFont="1" applyFill="1" applyBorder="1"/>
    <xf numFmtId="0" fontId="11" fillId="9" borderId="11" xfId="0" applyFont="1" applyFill="1" applyBorder="1"/>
    <xf numFmtId="0" fontId="11" fillId="9" borderId="14" xfId="0" applyFont="1" applyFill="1" applyBorder="1"/>
    <xf numFmtId="0" fontId="0" fillId="9" borderId="11" xfId="0" applyFill="1" applyBorder="1" applyAlignment="1">
      <alignment wrapText="1"/>
    </xf>
    <xf numFmtId="0" fontId="0" fillId="9" borderId="14" xfId="0" applyFill="1" applyBorder="1" applyAlignment="1">
      <alignment wrapText="1"/>
    </xf>
    <xf numFmtId="0" fontId="12" fillId="9" borderId="11" xfId="0" applyFont="1" applyFill="1" applyBorder="1"/>
    <xf numFmtId="0" fontId="12" fillId="9" borderId="14" xfId="0" applyFont="1" applyFill="1" applyBorder="1"/>
    <xf numFmtId="0" fontId="2" fillId="0" borderId="2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4" xfId="0" applyFont="1" applyFill="1" applyBorder="1"/>
    <xf numFmtId="0" fontId="3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3" fillId="11" borderId="6" xfId="0" applyFont="1" applyFill="1" applyBorder="1"/>
    <xf numFmtId="0" fontId="1" fillId="13" borderId="6" xfId="0" applyFont="1" applyFill="1" applyBorder="1"/>
    <xf numFmtId="0" fontId="2" fillId="11" borderId="1" xfId="0" applyFont="1" applyFill="1" applyBorder="1" applyAlignment="1">
      <alignment horizontal="left" vertical="center"/>
    </xf>
    <xf numFmtId="0" fontId="16" fillId="9" borderId="0" xfId="0" applyFont="1" applyFill="1"/>
    <xf numFmtId="42" fontId="0" fillId="9" borderId="1" xfId="0" applyNumberFormat="1" applyFill="1" applyBorder="1" applyAlignment="1">
      <alignment horizontal="center"/>
    </xf>
    <xf numFmtId="42" fontId="1" fillId="0" borderId="1" xfId="0" applyNumberFormat="1" applyFont="1" applyFill="1" applyBorder="1"/>
    <xf numFmtId="9" fontId="0" fillId="0" borderId="1" xfId="0" applyNumberFormat="1" applyBorder="1" applyAlignment="1">
      <alignment horizontal="left"/>
    </xf>
    <xf numFmtId="9" fontId="2" fillId="0" borderId="1" xfId="0" applyNumberFormat="1" applyFont="1" applyBorder="1" applyAlignment="1">
      <alignment wrapText="1"/>
    </xf>
    <xf numFmtId="0" fontId="6" fillId="9" borderId="0" xfId="0" applyFont="1" applyFill="1"/>
    <xf numFmtId="0" fontId="0" fillId="0" borderId="0" xfId="0" applyAlignment="1"/>
    <xf numFmtId="42" fontId="19" fillId="8" borderId="1" xfId="0" applyNumberFormat="1" applyFont="1" applyFill="1" applyBorder="1" applyAlignment="1">
      <alignment vertical="center"/>
    </xf>
    <xf numFmtId="9" fontId="18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9" fontId="17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left" vertical="center"/>
    </xf>
    <xf numFmtId="0" fontId="19" fillId="8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4" fillId="0" borderId="1" xfId="0" applyFont="1" applyFill="1" applyBorder="1"/>
    <xf numFmtId="0" fontId="8" fillId="0" borderId="1" xfId="0" applyFont="1" applyFill="1" applyBorder="1"/>
    <xf numFmtId="42" fontId="3" fillId="8" borderId="1" xfId="0" applyNumberFormat="1" applyFont="1" applyFill="1" applyBorder="1" applyAlignment="1">
      <alignment vertical="center"/>
    </xf>
    <xf numFmtId="42" fontId="2" fillId="0" borderId="1" xfId="0" applyNumberFormat="1" applyFont="1" applyBorder="1" applyAlignment="1">
      <alignment horizontal="right" vertical="center"/>
    </xf>
    <xf numFmtId="42" fontId="2" fillId="0" borderId="1" xfId="0" applyNumberFormat="1" applyFont="1" applyBorder="1" applyAlignment="1">
      <alignment vertical="center"/>
    </xf>
    <xf numFmtId="42" fontId="4" fillId="0" borderId="1" xfId="0" applyNumberFormat="1" applyFont="1" applyBorder="1" applyAlignment="1">
      <alignment vertical="center"/>
    </xf>
    <xf numFmtId="42" fontId="2" fillId="8" borderId="1" xfId="0" applyNumberFormat="1" applyFont="1" applyFill="1" applyBorder="1" applyAlignment="1">
      <alignment vertical="center"/>
    </xf>
    <xf numFmtId="42" fontId="23" fillId="8" borderId="1" xfId="0" applyNumberFormat="1" applyFont="1" applyFill="1" applyBorder="1" applyAlignment="1">
      <alignment vertical="center"/>
    </xf>
    <xf numFmtId="0" fontId="22" fillId="12" borderId="1" xfId="0" applyFont="1" applyFill="1" applyBorder="1" applyAlignment="1">
      <alignment horizontal="center" vertical="center"/>
    </xf>
    <xf numFmtId="9" fontId="24" fillId="12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center"/>
    </xf>
    <xf numFmtId="9" fontId="18" fillId="11" borderId="1" xfId="0" applyNumberFormat="1" applyFont="1" applyFill="1" applyBorder="1" applyAlignment="1">
      <alignment vertical="center"/>
    </xf>
    <xf numFmtId="0" fontId="0" fillId="0" borderId="0" xfId="0" applyFont="1" applyAlignment="1"/>
    <xf numFmtId="0" fontId="2" fillId="11" borderId="1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42" fontId="1" fillId="11" borderId="6" xfId="0" applyNumberFormat="1" applyFont="1" applyFill="1" applyBorder="1"/>
    <xf numFmtId="42" fontId="2" fillId="0" borderId="1" xfId="0" applyNumberFormat="1" applyFont="1" applyBorder="1" applyAlignment="1">
      <alignment horizontal="center" vertical="center" wrapText="1"/>
    </xf>
    <xf numFmtId="0" fontId="3" fillId="11" borderId="1" xfId="0" applyFont="1" applyFill="1" applyBorder="1"/>
    <xf numFmtId="0" fontId="0" fillId="11" borderId="1" xfId="0" applyFill="1" applyBorder="1" applyAlignment="1">
      <alignment horizontal="center"/>
    </xf>
    <xf numFmtId="42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42" fontId="2" fillId="3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9" fontId="17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9" fillId="11" borderId="1" xfId="0" applyFont="1" applyFill="1" applyBorder="1" applyAlignment="1">
      <alignment horizontal="center" vertical="center"/>
    </xf>
    <xf numFmtId="10" fontId="0" fillId="0" borderId="1" xfId="0" applyNumberFormat="1" applyFill="1" applyBorder="1"/>
    <xf numFmtId="42" fontId="0" fillId="0" borderId="1" xfId="0" applyNumberFormat="1" applyFill="1" applyBorder="1"/>
    <xf numFmtId="42" fontId="0" fillId="14" borderId="1" xfId="0" applyNumberFormat="1" applyFill="1" applyBorder="1"/>
    <xf numFmtId="42" fontId="2" fillId="0" borderId="1" xfId="0" applyNumberFormat="1" applyFont="1" applyFill="1" applyBorder="1" applyAlignment="1">
      <alignment horizontal="right" vertical="center"/>
    </xf>
    <xf numFmtId="9" fontId="18" fillId="11" borderId="1" xfId="0" applyNumberFormat="1" applyFont="1" applyFill="1" applyBorder="1" applyAlignment="1">
      <alignment horizontal="right" vertical="center"/>
    </xf>
    <xf numFmtId="9" fontId="18" fillId="8" borderId="1" xfId="0" applyNumberFormat="1" applyFont="1" applyFill="1" applyBorder="1" applyAlignment="1">
      <alignment horizontal="right" vertical="center"/>
    </xf>
    <xf numFmtId="42" fontId="3" fillId="8" borderId="1" xfId="0" applyNumberFormat="1" applyFont="1" applyFill="1" applyBorder="1" applyAlignment="1">
      <alignment horizontal="right" vertical="center"/>
    </xf>
    <xf numFmtId="42" fontId="2" fillId="0" borderId="5" xfId="0" applyNumberFormat="1" applyFont="1" applyBorder="1" applyAlignment="1">
      <alignment horizontal="right" vertical="center"/>
    </xf>
    <xf numFmtId="42" fontId="2" fillId="0" borderId="9" xfId="0" applyNumberFormat="1" applyFont="1" applyBorder="1" applyAlignment="1">
      <alignment horizontal="right" vertical="center"/>
    </xf>
    <xf numFmtId="42" fontId="2" fillId="0" borderId="3" xfId="0" applyNumberFormat="1" applyFont="1" applyBorder="1" applyAlignment="1">
      <alignment horizontal="right" vertical="center"/>
    </xf>
    <xf numFmtId="0" fontId="0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9" fontId="17" fillId="0" borderId="10" xfId="0" applyNumberFormat="1" applyFont="1" applyBorder="1" applyAlignment="1">
      <alignment horizontal="right" vertical="center"/>
    </xf>
    <xf numFmtId="0" fontId="1" fillId="8" borderId="3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42" fontId="3" fillId="11" borderId="1" xfId="0" applyNumberFormat="1" applyFont="1" applyFill="1" applyBorder="1" applyAlignment="1">
      <alignment horizontal="right" vertical="center"/>
    </xf>
    <xf numFmtId="42" fontId="2" fillId="8" borderId="3" xfId="0" applyNumberFormat="1" applyFont="1" applyFill="1" applyBorder="1" applyAlignment="1">
      <alignment horizontal="right" vertical="center"/>
    </xf>
    <xf numFmtId="9" fontId="17" fillId="8" borderId="3" xfId="0" applyNumberFormat="1" applyFont="1" applyFill="1" applyBorder="1" applyAlignment="1">
      <alignment horizontal="right" vertical="center"/>
    </xf>
    <xf numFmtId="42" fontId="2" fillId="8" borderId="1" xfId="0" applyNumberFormat="1" applyFont="1" applyFill="1" applyBorder="1" applyAlignment="1">
      <alignment horizontal="right" vertical="center"/>
    </xf>
    <xf numFmtId="42" fontId="3" fillId="8" borderId="1" xfId="0" applyNumberFormat="1" applyFont="1" applyFill="1" applyBorder="1"/>
    <xf numFmtId="42" fontId="2" fillId="0" borderId="6" xfId="0" applyNumberFormat="1" applyFont="1" applyBorder="1" applyAlignment="1">
      <alignment vertical="center"/>
    </xf>
    <xf numFmtId="42" fontId="2" fillId="0" borderId="7" xfId="0" applyNumberFormat="1" applyFont="1" applyBorder="1" applyAlignment="1">
      <alignment vertical="center"/>
    </xf>
    <xf numFmtId="42" fontId="2" fillId="0" borderId="12" xfId="0" applyNumberFormat="1" applyFont="1" applyBorder="1" applyAlignment="1">
      <alignment vertical="center"/>
    </xf>
    <xf numFmtId="42" fontId="2" fillId="0" borderId="3" xfId="0" applyNumberFormat="1" applyFont="1" applyBorder="1" applyAlignment="1">
      <alignment vertical="center"/>
    </xf>
    <xf numFmtId="42" fontId="2" fillId="0" borderId="10" xfId="0" applyNumberFormat="1" applyFont="1" applyBorder="1" applyAlignment="1">
      <alignment vertical="center"/>
    </xf>
    <xf numFmtId="0" fontId="2" fillId="10" borderId="1" xfId="0" applyFont="1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42" fontId="0" fillId="0" borderId="1" xfId="0" applyNumberFormat="1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11" borderId="1" xfId="0" applyFont="1" applyFill="1" applyBorder="1" applyAlignment="1"/>
    <xf numFmtId="0" fontId="9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/>
    </xf>
    <xf numFmtId="0" fontId="30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32" fillId="12" borderId="1" xfId="0" applyFont="1" applyFill="1" applyBorder="1"/>
    <xf numFmtId="42" fontId="8" fillId="0" borderId="1" xfId="0" applyNumberFormat="1" applyFont="1" applyBorder="1"/>
    <xf numFmtId="42" fontId="8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 vertical="center"/>
    </xf>
    <xf numFmtId="42" fontId="2" fillId="0" borderId="1" xfId="0" applyNumberFormat="1" applyFont="1" applyBorder="1"/>
    <xf numFmtId="42" fontId="2" fillId="11" borderId="1" xfId="0" applyNumberFormat="1" applyFont="1" applyFill="1" applyBorder="1"/>
    <xf numFmtId="42" fontId="2" fillId="0" borderId="0" xfId="0" applyNumberFormat="1" applyFont="1"/>
    <xf numFmtId="42" fontId="2" fillId="8" borderId="1" xfId="0" applyNumberFormat="1" applyFont="1" applyFill="1" applyBorder="1" applyAlignment="1">
      <alignment horizontal="center" vertical="center"/>
    </xf>
    <xf numFmtId="42" fontId="4" fillId="8" borderId="1" xfId="0" applyNumberFormat="1" applyFont="1" applyFill="1" applyBorder="1"/>
    <xf numFmtId="42" fontId="4" fillId="11" borderId="1" xfId="0" applyNumberFormat="1" applyFont="1" applyFill="1" applyBorder="1"/>
    <xf numFmtId="42" fontId="2" fillId="11" borderId="1" xfId="0" applyNumberFormat="1" applyFont="1" applyFill="1" applyBorder="1" applyAlignment="1">
      <alignment horizontal="center" vertical="center"/>
    </xf>
    <xf numFmtId="42" fontId="0" fillId="11" borderId="1" xfId="0" applyNumberFormat="1" applyFont="1" applyFill="1" applyBorder="1"/>
    <xf numFmtId="0" fontId="32" fillId="12" borderId="1" xfId="0" applyFont="1" applyFill="1" applyBorder="1" applyAlignment="1">
      <alignment vertical="center"/>
    </xf>
    <xf numFmtId="42" fontId="11" fillId="0" borderId="1" xfId="0" applyNumberFormat="1" applyFont="1" applyBorder="1"/>
    <xf numFmtId="0" fontId="11" fillId="9" borderId="0" xfId="0" applyFont="1" applyFill="1" applyBorder="1"/>
    <xf numFmtId="42" fontId="11" fillId="0" borderId="1" xfId="0" applyNumberFormat="1" applyFont="1" applyFill="1" applyBorder="1"/>
    <xf numFmtId="0" fontId="1" fillId="9" borderId="11" xfId="0" applyFont="1" applyFill="1" applyBorder="1"/>
    <xf numFmtId="0" fontId="3" fillId="0" borderId="1" xfId="0" applyFont="1" applyFill="1" applyBorder="1"/>
    <xf numFmtId="42" fontId="1" fillId="0" borderId="1" xfId="0" applyNumberFormat="1" applyFont="1" applyBorder="1"/>
    <xf numFmtId="0" fontId="1" fillId="9" borderId="0" xfId="0" applyFont="1" applyFill="1" applyBorder="1"/>
    <xf numFmtId="0" fontId="1" fillId="9" borderId="14" xfId="0" applyFont="1" applyFill="1" applyBorder="1"/>
    <xf numFmtId="0" fontId="1" fillId="0" borderId="0" xfId="0" applyFont="1"/>
    <xf numFmtId="0" fontId="1" fillId="0" borderId="1" xfId="0" applyFont="1" applyBorder="1"/>
    <xf numFmtId="0" fontId="1" fillId="11" borderId="1" xfId="0" applyFont="1" applyFill="1" applyBorder="1" applyAlignment="1">
      <alignment horizontal="center" vertical="center"/>
    </xf>
    <xf numFmtId="0" fontId="0" fillId="11" borderId="1" xfId="0" applyFill="1" applyBorder="1"/>
    <xf numFmtId="165" fontId="14" fillId="0" borderId="1" xfId="0" applyNumberFormat="1" applyFont="1" applyFill="1" applyBorder="1"/>
    <xf numFmtId="49" fontId="2" fillId="0" borderId="1" xfId="0" applyNumberFormat="1" applyFont="1" applyFill="1" applyBorder="1"/>
    <xf numFmtId="165" fontId="0" fillId="0" borderId="1" xfId="0" applyNumberFormat="1" applyFill="1" applyBorder="1"/>
    <xf numFmtId="42" fontId="0" fillId="0" borderId="1" xfId="0" applyNumberFormat="1" applyFont="1" applyBorder="1"/>
    <xf numFmtId="42" fontId="3" fillId="11" borderId="1" xfId="0" applyNumberFormat="1" applyFont="1" applyFill="1" applyBorder="1"/>
    <xf numFmtId="42" fontId="2" fillId="10" borderId="1" xfId="0" applyNumberFormat="1" applyFont="1" applyFill="1" applyBorder="1"/>
    <xf numFmtId="9" fontId="33" fillId="8" borderId="1" xfId="0" applyNumberFormat="1" applyFont="1" applyFill="1" applyBorder="1" applyAlignment="1">
      <alignment horizontal="right" vertical="center"/>
    </xf>
    <xf numFmtId="0" fontId="15" fillId="11" borderId="1" xfId="0" applyFont="1" applyFill="1" applyBorder="1" applyAlignment="1">
      <alignment vertical="center"/>
    </xf>
    <xf numFmtId="42" fontId="0" fillId="3" borderId="1" xfId="0" applyNumberFormat="1" applyFill="1" applyBorder="1"/>
    <xf numFmtId="0" fontId="3" fillId="8" borderId="1" xfId="0" applyFont="1" applyFill="1" applyBorder="1"/>
    <xf numFmtId="10" fontId="2" fillId="15" borderId="1" xfId="0" applyNumberFormat="1" applyFont="1" applyFill="1" applyBorder="1" applyAlignment="1">
      <alignment wrapText="1"/>
    </xf>
    <xf numFmtId="0" fontId="34" fillId="12" borderId="1" xfId="0" applyFont="1" applyFill="1" applyBorder="1" applyAlignment="1">
      <alignment vertical="center"/>
    </xf>
    <xf numFmtId="1" fontId="2" fillId="15" borderId="1" xfId="0" applyNumberFormat="1" applyFont="1" applyFill="1" applyBorder="1" applyAlignment="1">
      <alignment wrapText="1"/>
    </xf>
    <xf numFmtId="10" fontId="2" fillId="15" borderId="1" xfId="0" applyNumberFormat="1" applyFont="1" applyFill="1" applyBorder="1" applyAlignment="1">
      <alignment horizontal="center" vertical="center" wrapText="1"/>
    </xf>
    <xf numFmtId="44" fontId="1" fillId="11" borderId="1" xfId="0" applyNumberFormat="1" applyFont="1" applyFill="1" applyBorder="1" applyAlignment="1">
      <alignment horizontal="center" vertical="center"/>
    </xf>
    <xf numFmtId="1" fontId="1" fillId="13" borderId="1" xfId="0" applyNumberFormat="1" applyFont="1" applyFill="1" applyBorder="1" applyAlignment="1">
      <alignment horizontal="center" vertical="center"/>
    </xf>
    <xf numFmtId="10" fontId="1" fillId="13" borderId="1" xfId="0" applyNumberFormat="1" applyFont="1" applyFill="1" applyBorder="1" applyAlignment="1">
      <alignment horizontal="center" vertical="center"/>
    </xf>
    <xf numFmtId="42" fontId="2" fillId="10" borderId="1" xfId="0" applyNumberFormat="1" applyFont="1" applyFill="1" applyBorder="1" applyAlignment="1"/>
    <xf numFmtId="0" fontId="15" fillId="9" borderId="0" xfId="0" applyFont="1" applyFill="1" applyBorder="1"/>
    <xf numFmtId="42" fontId="1" fillId="8" borderId="1" xfId="0" applyNumberFormat="1" applyFont="1" applyFill="1" applyBorder="1"/>
    <xf numFmtId="44" fontId="0" fillId="0" borderId="1" xfId="0" applyNumberFormat="1" applyFill="1" applyBorder="1"/>
    <xf numFmtId="0" fontId="2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4" fontId="0" fillId="0" borderId="6" xfId="0" applyNumberFormat="1" applyFill="1" applyBorder="1"/>
    <xf numFmtId="44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/>
    <xf numFmtId="0" fontId="0" fillId="0" borderId="6" xfId="0" applyFont="1" applyFill="1" applyBorder="1" applyAlignment="1">
      <alignment horizontal="left"/>
    </xf>
    <xf numFmtId="0" fontId="1" fillId="8" borderId="2" xfId="0" applyFont="1" applyFill="1" applyBorder="1" applyAlignment="1"/>
    <xf numFmtId="0" fontId="0" fillId="8" borderId="15" xfId="0" applyFill="1" applyBorder="1" applyAlignment="1"/>
    <xf numFmtId="0" fontId="0" fillId="8" borderId="5" xfId="0" applyFill="1" applyBorder="1" applyAlignment="1"/>
    <xf numFmtId="0" fontId="2" fillId="0" borderId="6" xfId="0" applyNumberFormat="1" applyFont="1" applyFill="1" applyBorder="1"/>
    <xf numFmtId="42" fontId="0" fillId="0" borderId="6" xfId="0" applyNumberFormat="1" applyFill="1" applyBorder="1"/>
    <xf numFmtId="0" fontId="1" fillId="8" borderId="15" xfId="0" applyFont="1" applyFill="1" applyBorder="1" applyAlignment="1"/>
    <xf numFmtId="0" fontId="1" fillId="8" borderId="5" xfId="0" applyFont="1" applyFill="1" applyBorder="1" applyAlignment="1"/>
    <xf numFmtId="0" fontId="3" fillId="11" borderId="3" xfId="0" applyFont="1" applyFill="1" applyBorder="1" applyAlignment="1">
      <alignment horizontal="center" vertical="center"/>
    </xf>
    <xf numFmtId="44" fontId="3" fillId="11" borderId="3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left"/>
    </xf>
    <xf numFmtId="14" fontId="0" fillId="5" borderId="3" xfId="0" applyNumberFormat="1" applyFill="1" applyBorder="1"/>
    <xf numFmtId="42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11" borderId="1" xfId="0" applyFont="1" applyFill="1" applyBorder="1" applyAlignment="1">
      <alignment horizontal="left" vertical="center"/>
    </xf>
    <xf numFmtId="14" fontId="0" fillId="13" borderId="3" xfId="0" applyNumberFormat="1" applyFill="1" applyBorder="1"/>
    <xf numFmtId="0" fontId="3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44" fontId="0" fillId="0" borderId="1" xfId="0" applyNumberFormat="1" applyBorder="1"/>
    <xf numFmtId="44" fontId="0" fillId="0" borderId="6" xfId="0" applyNumberFormat="1" applyFill="1" applyBorder="1" applyAlignment="1">
      <alignment horizontal="left"/>
    </xf>
    <xf numFmtId="0" fontId="3" fillId="6" borderId="3" xfId="0" applyFont="1" applyFill="1" applyBorder="1"/>
    <xf numFmtId="44" fontId="1" fillId="6" borderId="10" xfId="0" applyNumberFormat="1" applyFont="1" applyFill="1" applyBorder="1"/>
    <xf numFmtId="14" fontId="0" fillId="16" borderId="3" xfId="0" applyNumberFormat="1" applyFill="1" applyBorder="1"/>
    <xf numFmtId="44" fontId="1" fillId="6" borderId="3" xfId="0" applyNumberFormat="1" applyFont="1" applyFill="1" applyBorder="1"/>
    <xf numFmtId="44" fontId="0" fillId="16" borderId="1" xfId="0" applyNumberFormat="1" applyFill="1" applyBorder="1"/>
    <xf numFmtId="0" fontId="3" fillId="6" borderId="1" xfId="0" applyFont="1" applyFill="1" applyBorder="1"/>
    <xf numFmtId="44" fontId="1" fillId="6" borderId="1" xfId="0" applyNumberFormat="1" applyFont="1" applyFill="1" applyBorder="1"/>
    <xf numFmtId="44" fontId="2" fillId="6" borderId="6" xfId="0" applyNumberFormat="1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/>
    </xf>
    <xf numFmtId="0" fontId="1" fillId="11" borderId="2" xfId="0" applyFont="1" applyFill="1" applyBorder="1"/>
    <xf numFmtId="0" fontId="0" fillId="11" borderId="15" xfId="0" applyFill="1" applyBorder="1"/>
    <xf numFmtId="0" fontId="0" fillId="11" borderId="5" xfId="0" applyFill="1" applyBorder="1"/>
    <xf numFmtId="42" fontId="4" fillId="9" borderId="5" xfId="0" applyNumberFormat="1" applyFont="1" applyFill="1" applyBorder="1" applyAlignment="1">
      <alignment horizontal="right" vertical="center"/>
    </xf>
    <xf numFmtId="9" fontId="36" fillId="9" borderId="1" xfId="0" applyNumberFormat="1" applyFont="1" applyFill="1" applyBorder="1" applyAlignment="1">
      <alignment horizontal="right" vertical="center"/>
    </xf>
    <xf numFmtId="42" fontId="3" fillId="11" borderId="1" xfId="0" applyNumberFormat="1" applyFont="1" applyFill="1" applyBorder="1" applyAlignment="1">
      <alignment horizontal="center" vertical="center"/>
    </xf>
    <xf numFmtId="42" fontId="0" fillId="0" borderId="1" xfId="0" applyNumberFormat="1" applyFill="1" applyBorder="1" applyAlignment="1">
      <alignment horizontal="left"/>
    </xf>
    <xf numFmtId="42" fontId="0" fillId="11" borderId="1" xfId="0" applyNumberFormat="1" applyFill="1" applyBorder="1"/>
    <xf numFmtId="9" fontId="0" fillId="0" borderId="1" xfId="0" applyNumberFormat="1" applyBorder="1"/>
    <xf numFmtId="42" fontId="0" fillId="9" borderId="0" xfId="0" applyNumberFormat="1" applyFill="1" applyBorder="1"/>
    <xf numFmtId="42" fontId="0" fillId="9" borderId="1" xfId="0" applyNumberFormat="1" applyFill="1" applyBorder="1"/>
    <xf numFmtId="0" fontId="2" fillId="0" borderId="6" xfId="0" applyNumberFormat="1" applyFont="1" applyFill="1" applyBorder="1" applyAlignment="1">
      <alignment horizontal="left"/>
    </xf>
    <xf numFmtId="0" fontId="1" fillId="13" borderId="1" xfId="0" applyFont="1" applyFill="1" applyBorder="1"/>
    <xf numFmtId="44" fontId="2" fillId="0" borderId="1" xfId="1" applyNumberFormat="1" applyFont="1" applyFill="1" applyBorder="1"/>
    <xf numFmtId="44" fontId="1" fillId="0" borderId="1" xfId="0" applyNumberFormat="1" applyFont="1" applyFill="1" applyBorder="1"/>
    <xf numFmtId="44" fontId="3" fillId="11" borderId="1" xfId="0" applyNumberFormat="1" applyFont="1" applyFill="1" applyBorder="1"/>
    <xf numFmtId="0" fontId="0" fillId="18" borderId="1" xfId="0" applyFill="1" applyBorder="1"/>
    <xf numFmtId="0" fontId="34" fillId="12" borderId="1" xfId="0" applyFont="1" applyFill="1" applyBorder="1" applyAlignment="1">
      <alignment horizontal="center" vertical="center"/>
    </xf>
    <xf numFmtId="0" fontId="20" fillId="19" borderId="4" xfId="0" applyFont="1" applyFill="1" applyBorder="1"/>
    <xf numFmtId="0" fontId="0" fillId="19" borderId="13" xfId="0" applyFill="1" applyBorder="1"/>
    <xf numFmtId="0" fontId="0" fillId="19" borderId="9" xfId="0" applyFill="1" applyBorder="1"/>
    <xf numFmtId="0" fontId="0" fillId="19" borderId="11" xfId="0" applyFill="1" applyBorder="1"/>
    <xf numFmtId="0" fontId="0" fillId="19" borderId="0" xfId="0" applyFill="1" applyBorder="1"/>
    <xf numFmtId="0" fontId="0" fillId="19" borderId="14" xfId="0" applyFill="1" applyBorder="1"/>
    <xf numFmtId="0" fontId="0" fillId="19" borderId="12" xfId="0" applyFill="1" applyBorder="1"/>
    <xf numFmtId="0" fontId="0" fillId="19" borderId="8" xfId="0" applyFill="1" applyBorder="1"/>
    <xf numFmtId="0" fontId="1" fillId="19" borderId="11" xfId="0" applyFont="1" applyFill="1" applyBorder="1"/>
    <xf numFmtId="0" fontId="37" fillId="9" borderId="1" xfId="2" applyFill="1" applyBorder="1" applyAlignment="1">
      <alignment vertical="center"/>
    </xf>
    <xf numFmtId="0" fontId="21" fillId="17" borderId="0" xfId="0" applyFont="1" applyFill="1" applyBorder="1" applyAlignment="1">
      <alignment horizontal="center" vertical="center"/>
    </xf>
    <xf numFmtId="0" fontId="20" fillId="19" borderId="11" xfId="0" applyFont="1" applyFill="1" applyBorder="1"/>
    <xf numFmtId="0" fontId="37" fillId="19" borderId="7" xfId="2" applyFill="1" applyBorder="1"/>
    <xf numFmtId="0" fontId="37" fillId="19" borderId="12" xfId="2" applyFill="1" applyBorder="1"/>
    <xf numFmtId="0" fontId="7" fillId="19" borderId="13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horizontal="center" vertical="center"/>
    </xf>
    <xf numFmtId="0" fontId="37" fillId="19" borderId="12" xfId="2" applyFill="1" applyBorder="1" applyAlignment="1">
      <alignment horizontal="left" vertical="center"/>
    </xf>
    <xf numFmtId="42" fontId="1" fillId="19" borderId="7" xfId="0" applyNumberFormat="1" applyFont="1" applyFill="1" applyBorder="1"/>
    <xf numFmtId="42" fontId="1" fillId="19" borderId="12" xfId="0" applyNumberFormat="1" applyFont="1" applyFill="1" applyBorder="1"/>
    <xf numFmtId="42" fontId="1" fillId="19" borderId="8" xfId="0" applyNumberFormat="1" applyFont="1" applyFill="1" applyBorder="1"/>
    <xf numFmtId="0" fontId="37" fillId="19" borderId="6" xfId="2" applyFill="1" applyBorder="1"/>
    <xf numFmtId="0" fontId="6" fillId="9" borderId="0" xfId="0" applyFont="1" applyFill="1" applyBorder="1"/>
    <xf numFmtId="0" fontId="0" fillId="17" borderId="1" xfId="0" applyFill="1" applyBorder="1"/>
    <xf numFmtId="0" fontId="37" fillId="9" borderId="0" xfId="2" applyFill="1" applyBorder="1"/>
    <xf numFmtId="0" fontId="0" fillId="0" borderId="0" xfId="0" applyFill="1" applyAlignment="1">
      <alignment vertical="center"/>
    </xf>
    <xf numFmtId="0" fontId="37" fillId="0" borderId="0" xfId="2"/>
    <xf numFmtId="164" fontId="2" fillId="11" borderId="3" xfId="0" applyNumberFormat="1" applyFont="1" applyFill="1" applyBorder="1" applyAlignment="1">
      <alignment horizontal="center" vertical="center"/>
    </xf>
    <xf numFmtId="42" fontId="3" fillId="20" borderId="1" xfId="0" applyNumberFormat="1" applyFont="1" applyFill="1" applyBorder="1" applyAlignment="1">
      <alignment vertical="center"/>
    </xf>
    <xf numFmtId="0" fontId="15" fillId="0" borderId="0" xfId="0" applyFont="1"/>
    <xf numFmtId="9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Fill="1" applyBorder="1" applyAlignment="1">
      <alignment horizontal="right" vertical="center"/>
    </xf>
    <xf numFmtId="9" fontId="2" fillId="0" borderId="1" xfId="0" applyNumberFormat="1" applyFont="1" applyBorder="1"/>
    <xf numFmtId="0" fontId="2" fillId="5" borderId="1" xfId="0" applyFont="1" applyFill="1" applyBorder="1"/>
    <xf numFmtId="0" fontId="2" fillId="0" borderId="1" xfId="0" applyFont="1" applyFill="1" applyBorder="1" applyProtection="1">
      <protection locked="0"/>
    </xf>
    <xf numFmtId="42" fontId="0" fillId="0" borderId="1" xfId="0" applyNumberFormat="1" applyBorder="1" applyAlignment="1" applyProtection="1">
      <alignment horizontal="center" vertical="center" wrapText="1"/>
      <protection locked="0"/>
    </xf>
    <xf numFmtId="44" fontId="0" fillId="0" borderId="1" xfId="0" applyNumberFormat="1" applyBorder="1" applyAlignment="1" applyProtection="1">
      <alignment horizontal="center" vertical="center" wrapText="1"/>
      <protection locked="0"/>
    </xf>
    <xf numFmtId="44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wrapText="1"/>
      <protection locked="0"/>
    </xf>
    <xf numFmtId="9" fontId="2" fillId="0" borderId="1" xfId="0" applyNumberFormat="1" applyFont="1" applyBorder="1" applyAlignment="1" applyProtection="1">
      <alignment wrapText="1"/>
      <protection locked="0"/>
    </xf>
    <xf numFmtId="42" fontId="0" fillId="0" borderId="1" xfId="0" applyNumberFormat="1" applyBorder="1" applyProtection="1">
      <protection locked="0"/>
    </xf>
    <xf numFmtId="42" fontId="0" fillId="0" borderId="1" xfId="0" applyNumberFormat="1" applyBorder="1" applyAlignment="1" applyProtection="1">
      <alignment horizontal="center"/>
      <protection locked="0"/>
    </xf>
    <xf numFmtId="42" fontId="0" fillId="0" borderId="1" xfId="0" applyNumberFormat="1" applyBorder="1" applyAlignment="1" applyProtection="1">
      <protection locked="0"/>
    </xf>
    <xf numFmtId="42" fontId="2" fillId="0" borderId="1" xfId="0" applyNumberFormat="1" applyFon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protection locked="0"/>
    </xf>
    <xf numFmtId="10" fontId="2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10" fontId="2" fillId="0" borderId="1" xfId="0" applyNumberFormat="1" applyFont="1" applyFill="1" applyBorder="1" applyAlignment="1" applyProtection="1">
      <alignment horizontal="right" vertical="center"/>
      <protection locked="0"/>
    </xf>
    <xf numFmtId="10" fontId="2" fillId="0" borderId="1" xfId="0" applyNumberFormat="1" applyFont="1" applyFill="1" applyBorder="1" applyAlignment="1" applyProtection="1">
      <alignment horizontal="right"/>
      <protection locked="0"/>
    </xf>
    <xf numFmtId="42" fontId="2" fillId="0" borderId="1" xfId="0" applyNumberFormat="1" applyFont="1" applyFill="1" applyBorder="1" applyAlignment="1" applyProtection="1">
      <alignment horizontal="right" vertical="center"/>
      <protection locked="0"/>
    </xf>
    <xf numFmtId="42" fontId="2" fillId="0" borderId="1" xfId="0" applyNumberFormat="1" applyFont="1" applyFill="1" applyBorder="1" applyAlignment="1" applyProtection="1">
      <alignment horizontal="center" vertical="center"/>
      <protection locked="0"/>
    </xf>
    <xf numFmtId="42" fontId="2" fillId="0" borderId="1" xfId="0" applyNumberFormat="1" applyFont="1" applyFill="1" applyBorder="1" applyProtection="1">
      <protection locked="0"/>
    </xf>
    <xf numFmtId="42" fontId="2" fillId="0" borderId="6" xfId="0" applyNumberFormat="1" applyFont="1" applyBorder="1" applyAlignment="1" applyProtection="1">
      <alignment horizontal="center" vertical="center" wrapText="1"/>
      <protection locked="0"/>
    </xf>
    <xf numFmtId="10" fontId="2" fillId="0" borderId="6" xfId="0" applyNumberFormat="1" applyFont="1" applyBorder="1" applyAlignment="1" applyProtection="1">
      <alignment horizontal="center" vertical="center" wrapText="1"/>
      <protection locked="0"/>
    </xf>
    <xf numFmtId="1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6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42" fontId="2" fillId="0" borderId="1" xfId="0" applyNumberFormat="1" applyFont="1" applyBorder="1" applyAlignment="1" applyProtection="1">
      <alignment horizontal="center"/>
      <protection locked="0"/>
    </xf>
    <xf numFmtId="42" fontId="2" fillId="0" borderId="1" xfId="0" applyNumberFormat="1" applyFont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34" fillId="1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9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9" fontId="2" fillId="0" borderId="5" xfId="0" applyNumberFormat="1" applyFont="1" applyBorder="1" applyAlignment="1" applyProtection="1">
      <alignment horizontal="left" vertical="center"/>
      <protection locked="0"/>
    </xf>
    <xf numFmtId="0" fontId="2" fillId="3" borderId="2" xfId="0" applyFont="1" applyFill="1" applyBorder="1" applyProtection="1">
      <protection locked="0"/>
    </xf>
    <xf numFmtId="49" fontId="2" fillId="0" borderId="7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Fill="1" applyBorder="1" applyProtection="1">
      <protection locked="0"/>
    </xf>
    <xf numFmtId="0" fontId="2" fillId="9" borderId="0" xfId="0" applyFont="1" applyFill="1" applyBorder="1" applyProtection="1">
      <protection hidden="1"/>
    </xf>
    <xf numFmtId="0" fontId="2" fillId="9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/>
    <xf numFmtId="0" fontId="34" fillId="12" borderId="0" xfId="0" applyFont="1" applyFill="1" applyBorder="1" applyAlignment="1">
      <alignment horizontal="center" vertical="center"/>
    </xf>
    <xf numFmtId="0" fontId="40" fillId="9" borderId="1" xfId="2" applyFont="1" applyFill="1" applyBorder="1"/>
    <xf numFmtId="0" fontId="31" fillId="9" borderId="1" xfId="0" applyFont="1" applyFill="1" applyBorder="1"/>
    <xf numFmtId="0" fontId="2" fillId="9" borderId="1" xfId="0" applyFont="1" applyFill="1" applyBorder="1"/>
    <xf numFmtId="0" fontId="2" fillId="9" borderId="1" xfId="0" applyFont="1" applyFill="1" applyBorder="1" applyAlignment="1">
      <alignment horizontal="left"/>
    </xf>
    <xf numFmtId="0" fontId="40" fillId="9" borderId="1" xfId="2" applyFont="1" applyFill="1" applyBorder="1" applyAlignment="1">
      <alignment vertical="center"/>
    </xf>
    <xf numFmtId="0" fontId="40" fillId="9" borderId="1" xfId="2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11" fillId="2" borderId="1" xfId="0" applyFont="1" applyFill="1" applyBorder="1"/>
    <xf numFmtId="42" fontId="41" fillId="2" borderId="1" xfId="0" applyNumberFormat="1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wrapText="1"/>
      <protection locked="0"/>
    </xf>
    <xf numFmtId="9" fontId="4" fillId="2" borderId="1" xfId="0" applyNumberFormat="1" applyFont="1" applyFill="1" applyBorder="1" applyAlignment="1" applyProtection="1">
      <alignment wrapText="1"/>
      <protection locked="0"/>
    </xf>
    <xf numFmtId="0" fontId="2" fillId="9" borderId="1" xfId="0" applyNumberFormat="1" applyFont="1" applyFill="1" applyBorder="1" applyAlignment="1">
      <alignment horizontal="left" vertical="center"/>
    </xf>
    <xf numFmtId="49" fontId="2" fillId="9" borderId="1" xfId="0" applyNumberFormat="1" applyFont="1" applyFill="1" applyBorder="1" applyAlignment="1">
      <alignment horizontal="left" vertical="center"/>
    </xf>
    <xf numFmtId="0" fontId="46" fillId="19" borderId="4" xfId="0" applyFont="1" applyFill="1" applyBorder="1"/>
    <xf numFmtId="0" fontId="3" fillId="19" borderId="11" xfId="0" applyFont="1" applyFill="1" applyBorder="1"/>
    <xf numFmtId="0" fontId="2" fillId="19" borderId="11" xfId="0" applyFont="1" applyFill="1" applyBorder="1"/>
    <xf numFmtId="0" fontId="2" fillId="19" borderId="7" xfId="0" applyFont="1" applyFill="1" applyBorder="1"/>
    <xf numFmtId="42" fontId="0" fillId="0" borderId="0" xfId="0" applyNumberFormat="1"/>
    <xf numFmtId="0" fontId="4" fillId="0" borderId="0" xfId="0" applyFont="1"/>
    <xf numFmtId="0" fontId="0" fillId="0" borderId="0" xfId="0" applyFont="1" applyAlignment="1"/>
    <xf numFmtId="49" fontId="2" fillId="0" borderId="1" xfId="0" applyNumberFormat="1" applyFont="1" applyBorder="1" applyAlignment="1">
      <alignment vertical="center"/>
    </xf>
    <xf numFmtId="42" fontId="15" fillId="11" borderId="1" xfId="0" applyNumberFormat="1" applyFont="1" applyFill="1" applyBorder="1" applyAlignment="1">
      <alignment vertical="center"/>
    </xf>
    <xf numFmtId="0" fontId="40" fillId="9" borderId="1" xfId="2" applyFont="1" applyFill="1" applyBorder="1" applyAlignment="1">
      <alignment wrapText="1"/>
    </xf>
    <xf numFmtId="0" fontId="40" fillId="9" borderId="1" xfId="2" applyFont="1" applyFill="1" applyBorder="1" applyAlignment="1">
      <alignment vertical="center" wrapText="1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0" fillId="0" borderId="0" xfId="0" applyNumberFormat="1"/>
    <xf numFmtId="0" fontId="21" fillId="17" borderId="0" xfId="0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15" xfId="0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34" fillId="12" borderId="1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left" vertical="center" wrapText="1"/>
    </xf>
    <xf numFmtId="0" fontId="31" fillId="9" borderId="15" xfId="0" applyFont="1" applyFill="1" applyBorder="1" applyAlignment="1">
      <alignment horizontal="left" vertical="center" wrapText="1"/>
    </xf>
    <xf numFmtId="0" fontId="31" fillId="9" borderId="5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44" fontId="35" fillId="12" borderId="2" xfId="0" applyNumberFormat="1" applyFont="1" applyFill="1" applyBorder="1" applyAlignment="1">
      <alignment horizontal="center" vertical="center" wrapText="1"/>
    </xf>
    <xf numFmtId="44" fontId="35" fillId="12" borderId="15" xfId="0" applyNumberFormat="1" applyFont="1" applyFill="1" applyBorder="1" applyAlignment="1">
      <alignment horizontal="center" vertical="center" wrapText="1"/>
    </xf>
    <xf numFmtId="44" fontId="35" fillId="12" borderId="5" xfId="0" applyNumberFormat="1" applyFont="1" applyFill="1" applyBorder="1" applyAlignment="1">
      <alignment horizontal="center" vertical="center" wrapText="1"/>
    </xf>
    <xf numFmtId="44" fontId="2" fillId="12" borderId="2" xfId="0" applyNumberFormat="1" applyFont="1" applyFill="1" applyBorder="1" applyAlignment="1">
      <alignment horizontal="center" vertical="center" wrapText="1"/>
    </xf>
    <xf numFmtId="44" fontId="2" fillId="12" borderId="15" xfId="0" applyNumberFormat="1" applyFont="1" applyFill="1" applyBorder="1" applyAlignment="1">
      <alignment horizontal="center" vertical="center" wrapText="1"/>
    </xf>
    <xf numFmtId="44" fontId="2" fillId="12" borderId="5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0" fillId="9" borderId="14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15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42" fontId="39" fillId="19" borderId="11" xfId="2" applyNumberFormat="1" applyFont="1" applyFill="1" applyBorder="1" applyAlignment="1">
      <alignment horizontal="center"/>
    </xf>
    <xf numFmtId="42" fontId="39" fillId="19" borderId="0" xfId="2" applyNumberFormat="1" applyFont="1" applyFill="1" applyBorder="1" applyAlignment="1">
      <alignment horizontal="center"/>
    </xf>
    <xf numFmtId="42" fontId="39" fillId="19" borderId="14" xfId="2" applyNumberFormat="1" applyFont="1" applyFill="1" applyBorder="1" applyAlignment="1">
      <alignment horizontal="center"/>
    </xf>
    <xf numFmtId="42" fontId="15" fillId="19" borderId="4" xfId="0" applyNumberFormat="1" applyFont="1" applyFill="1" applyBorder="1" applyAlignment="1">
      <alignment horizontal="center"/>
    </xf>
    <xf numFmtId="42" fontId="15" fillId="19" borderId="13" xfId="0" applyNumberFormat="1" applyFont="1" applyFill="1" applyBorder="1" applyAlignment="1">
      <alignment horizontal="center"/>
    </xf>
    <xf numFmtId="42" fontId="15" fillId="19" borderId="9" xfId="0" applyNumberFormat="1" applyFont="1" applyFill="1" applyBorder="1" applyAlignment="1">
      <alignment horizontal="center"/>
    </xf>
    <xf numFmtId="42" fontId="3" fillId="11" borderId="1" xfId="0" applyNumberFormat="1" applyFont="1" applyFill="1" applyBorder="1" applyAlignment="1"/>
    <xf numFmtId="42" fontId="0" fillId="11" borderId="1" xfId="0" applyNumberFormat="1" applyFill="1" applyBorder="1" applyAlignment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11" borderId="1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6" fillId="12" borderId="0" xfId="0" applyFont="1" applyFill="1" applyBorder="1" applyAlignment="1"/>
    <xf numFmtId="0" fontId="29" fillId="0" borderId="0" xfId="0" applyFont="1" applyAlignment="1">
      <alignment horizontal="center" vertical="center"/>
    </xf>
    <xf numFmtId="0" fontId="0" fillId="0" borderId="0" xfId="0" applyFont="1" applyAlignment="1"/>
    <xf numFmtId="49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1" fillId="17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1" fillId="17" borderId="0" xfId="0" applyFont="1" applyFill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5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1" fillId="0" borderId="5" xfId="0" applyFont="1" applyFill="1" applyBorder="1" applyAlignment="1">
      <alignment vertical="center"/>
    </xf>
    <xf numFmtId="0" fontId="1" fillId="11" borderId="2" xfId="0" applyFont="1" applyFill="1" applyBorder="1" applyAlignment="1">
      <alignment horizontal="left" vertical="center"/>
    </xf>
    <xf numFmtId="0" fontId="1" fillId="11" borderId="15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32" fillId="12" borderId="2" xfId="0" applyFont="1" applyFill="1" applyBorder="1" applyAlignment="1">
      <alignment horizontal="center" vertical="center"/>
    </xf>
    <xf numFmtId="0" fontId="32" fillId="12" borderId="5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42" fontId="2" fillId="0" borderId="9" xfId="0" applyNumberFormat="1" applyFont="1" applyFill="1" applyBorder="1" applyAlignment="1">
      <alignment horizontal="right" vertical="center"/>
    </xf>
  </cellXfs>
  <cellStyles count="3">
    <cellStyle name="Lien hypertexte" xfId="2" builtinId="8"/>
    <cellStyle name="Milliers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00"/>
      <color rgb="FF2A2A2A"/>
      <color rgb="FFFEFCA0"/>
      <color rgb="FFFFFFC1"/>
      <color rgb="FFCCFF99"/>
      <color rgb="FF99FF99"/>
      <color rgb="FFFFCCFF"/>
      <color rgb="FFFEFC96"/>
      <color rgb="FFFCFC84"/>
      <color rgb="FFF3F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 prévi'!$B$633</c:f>
              <c:strCache>
                <c:ptCount val="1"/>
                <c:pt idx="0">
                  <c:v>Chiffre d'affaires 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'Calcul prévi'!$C$632:$AL$632</c:f>
              <c:strCache>
                <c:ptCount val="36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  <c:pt idx="12">
                  <c:v>Mois 13</c:v>
                </c:pt>
                <c:pt idx="13">
                  <c:v>Mois 14</c:v>
                </c:pt>
                <c:pt idx="14">
                  <c:v>Mois 15</c:v>
                </c:pt>
                <c:pt idx="15">
                  <c:v>Mois 16</c:v>
                </c:pt>
                <c:pt idx="16">
                  <c:v>Mois 17</c:v>
                </c:pt>
                <c:pt idx="17">
                  <c:v>Mois 18</c:v>
                </c:pt>
                <c:pt idx="18">
                  <c:v>Mois 19</c:v>
                </c:pt>
                <c:pt idx="19">
                  <c:v>Mois 20</c:v>
                </c:pt>
                <c:pt idx="20">
                  <c:v>Mois 21</c:v>
                </c:pt>
                <c:pt idx="21">
                  <c:v>Mois 22</c:v>
                </c:pt>
                <c:pt idx="22">
                  <c:v>Mois 23</c:v>
                </c:pt>
                <c:pt idx="23">
                  <c:v>Mois 24</c:v>
                </c:pt>
                <c:pt idx="24">
                  <c:v>Mois 25</c:v>
                </c:pt>
                <c:pt idx="25">
                  <c:v>Mois 26</c:v>
                </c:pt>
                <c:pt idx="26">
                  <c:v>Mois 27</c:v>
                </c:pt>
                <c:pt idx="27">
                  <c:v>Mois 28</c:v>
                </c:pt>
                <c:pt idx="28">
                  <c:v>Mois 29</c:v>
                </c:pt>
                <c:pt idx="29">
                  <c:v>Mois 30</c:v>
                </c:pt>
                <c:pt idx="30">
                  <c:v>Mois 31</c:v>
                </c:pt>
                <c:pt idx="31">
                  <c:v>Mois 32</c:v>
                </c:pt>
                <c:pt idx="32">
                  <c:v>Mois 33</c:v>
                </c:pt>
                <c:pt idx="33">
                  <c:v>Mois 34</c:v>
                </c:pt>
                <c:pt idx="34">
                  <c:v>Mois 35</c:v>
                </c:pt>
                <c:pt idx="35">
                  <c:v>Mois 36</c:v>
                </c:pt>
              </c:strCache>
            </c:strRef>
          </c:cat>
          <c:val>
            <c:numRef>
              <c:f>'Calcul prévi'!$C$633:$AL$633</c:f>
              <c:numCache>
                <c:formatCode>_("€"* #,##0_);_("€"* \(#,##0\);_("€"* "-"_);_(@_)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BB-426C-8602-6BEDAF761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471664"/>
        <c:axId val="414465784"/>
      </c:lineChart>
      <c:catAx>
        <c:axId val="41447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465784"/>
        <c:crosses val="autoZero"/>
        <c:auto val="1"/>
        <c:lblAlgn val="ctr"/>
        <c:lblOffset val="100"/>
        <c:noMultiLvlLbl val="0"/>
      </c:catAx>
      <c:valAx>
        <c:axId val="414465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47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'Calcul prévi'!$B$636</c:f>
              <c:strCache>
                <c:ptCount val="1"/>
                <c:pt idx="0">
                  <c:v>Trésorerie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'Calcul prévi'!$C$635:$AL$635</c:f>
              <c:strCache>
                <c:ptCount val="36"/>
                <c:pt idx="0">
                  <c:v>Mois 1</c:v>
                </c:pt>
                <c:pt idx="1">
                  <c:v>Mois 2</c:v>
                </c:pt>
                <c:pt idx="2">
                  <c:v>Mois 3</c:v>
                </c:pt>
                <c:pt idx="3">
                  <c:v>Mois 4</c:v>
                </c:pt>
                <c:pt idx="4">
                  <c:v>Mois 5</c:v>
                </c:pt>
                <c:pt idx="5">
                  <c:v>Mois 6</c:v>
                </c:pt>
                <c:pt idx="6">
                  <c:v>Mois 7</c:v>
                </c:pt>
                <c:pt idx="7">
                  <c:v>Mois 8</c:v>
                </c:pt>
                <c:pt idx="8">
                  <c:v>Mois 9</c:v>
                </c:pt>
                <c:pt idx="9">
                  <c:v>Mois 10</c:v>
                </c:pt>
                <c:pt idx="10">
                  <c:v>Mois 11</c:v>
                </c:pt>
                <c:pt idx="11">
                  <c:v>Mois 12</c:v>
                </c:pt>
                <c:pt idx="12">
                  <c:v>Mois 13</c:v>
                </c:pt>
                <c:pt idx="13">
                  <c:v>Mois 14</c:v>
                </c:pt>
                <c:pt idx="14">
                  <c:v>Mois 15</c:v>
                </c:pt>
                <c:pt idx="15">
                  <c:v>Mois 16</c:v>
                </c:pt>
                <c:pt idx="16">
                  <c:v>Mois 17</c:v>
                </c:pt>
                <c:pt idx="17">
                  <c:v>Mois 18</c:v>
                </c:pt>
                <c:pt idx="18">
                  <c:v>Mois 19</c:v>
                </c:pt>
                <c:pt idx="19">
                  <c:v>Mois 20</c:v>
                </c:pt>
                <c:pt idx="20">
                  <c:v>Mois 21</c:v>
                </c:pt>
                <c:pt idx="21">
                  <c:v>Mois 22</c:v>
                </c:pt>
                <c:pt idx="22">
                  <c:v>Mois 23</c:v>
                </c:pt>
                <c:pt idx="23">
                  <c:v>Mois 24</c:v>
                </c:pt>
                <c:pt idx="24">
                  <c:v>Mois 25</c:v>
                </c:pt>
                <c:pt idx="25">
                  <c:v>Mois 26</c:v>
                </c:pt>
                <c:pt idx="26">
                  <c:v>Mois 27</c:v>
                </c:pt>
                <c:pt idx="27">
                  <c:v>Mois 28</c:v>
                </c:pt>
                <c:pt idx="28">
                  <c:v>Mois 29</c:v>
                </c:pt>
                <c:pt idx="29">
                  <c:v>Mois 30</c:v>
                </c:pt>
                <c:pt idx="30">
                  <c:v>Mois 31</c:v>
                </c:pt>
                <c:pt idx="31">
                  <c:v>Mois 32</c:v>
                </c:pt>
                <c:pt idx="32">
                  <c:v>Mois 33</c:v>
                </c:pt>
                <c:pt idx="33">
                  <c:v>Mois 34</c:v>
                </c:pt>
                <c:pt idx="34">
                  <c:v>Mois 35</c:v>
                </c:pt>
                <c:pt idx="35">
                  <c:v>Mois 36</c:v>
                </c:pt>
              </c:strCache>
            </c:strRef>
          </c:cat>
          <c:val>
            <c:numRef>
              <c:f>'Calcul prévi'!$C$636:$AL$636</c:f>
              <c:numCache>
                <c:formatCode>_("€"* #,##0_);_("€"* \(#,##0\);_("€"* "-"_);_(@_)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06-4ED1-815B-E72C2049D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466568"/>
        <c:axId val="414466176"/>
      </c:lineChart>
      <c:catAx>
        <c:axId val="41446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466176"/>
        <c:crosses val="autoZero"/>
        <c:auto val="1"/>
        <c:lblAlgn val="ctr"/>
        <c:lblOffset val="100"/>
        <c:noMultiLvlLbl val="0"/>
      </c:catAx>
      <c:valAx>
        <c:axId val="4144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_);_(&quot;€&quot;* \(#,##0\);_(&quot;€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4466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coindesentrepreneurs.fr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coindesentrepreneurs.fr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coindesentrepreneurs.fr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coindesentrepreneurs.fr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coindesentrepreneurs.fr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coindesentrepreneurs.fr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coindesentrepreneurs.fr/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123825</xdr:rowOff>
    </xdr:from>
    <xdr:to>
      <xdr:col>2</xdr:col>
      <xdr:colOff>988525</xdr:colOff>
      <xdr:row>5</xdr:row>
      <xdr:rowOff>73144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14350"/>
          <a:ext cx="4827100" cy="5208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147637</xdr:rowOff>
    </xdr:from>
    <xdr:to>
      <xdr:col>12</xdr:col>
      <xdr:colOff>752475</xdr:colOff>
      <xdr:row>18</xdr:row>
      <xdr:rowOff>23812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119062</xdr:rowOff>
    </xdr:from>
    <xdr:to>
      <xdr:col>12</xdr:col>
      <xdr:colOff>742950</xdr:colOff>
      <xdr:row>35</xdr:row>
      <xdr:rowOff>19050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3</xdr:row>
      <xdr:rowOff>9525</xdr:rowOff>
    </xdr:from>
    <xdr:to>
      <xdr:col>11</xdr:col>
      <xdr:colOff>26500</xdr:colOff>
      <xdr:row>5</xdr:row>
      <xdr:rowOff>149344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9050" y="590550"/>
          <a:ext cx="4827100" cy="520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179916</xdr:colOff>
      <xdr:row>3</xdr:row>
      <xdr:rowOff>10583</xdr:rowOff>
    </xdr:from>
    <xdr:to>
      <xdr:col>7</xdr:col>
      <xdr:colOff>3800516</xdr:colOff>
      <xdr:row>5</xdr:row>
      <xdr:rowOff>150402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833" y="687916"/>
          <a:ext cx="4827100" cy="520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3</xdr:row>
      <xdr:rowOff>21167</xdr:rowOff>
    </xdr:from>
    <xdr:to>
      <xdr:col>15</xdr:col>
      <xdr:colOff>22266</xdr:colOff>
      <xdr:row>5</xdr:row>
      <xdr:rowOff>160986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4083" y="762000"/>
          <a:ext cx="4827100" cy="5208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264583</xdr:colOff>
      <xdr:row>2</xdr:row>
      <xdr:rowOff>158750</xdr:rowOff>
    </xdr:from>
    <xdr:to>
      <xdr:col>15</xdr:col>
      <xdr:colOff>1099</xdr:colOff>
      <xdr:row>5</xdr:row>
      <xdr:rowOff>108069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3916" y="709083"/>
          <a:ext cx="4827100" cy="5208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359832</xdr:colOff>
      <xdr:row>2</xdr:row>
      <xdr:rowOff>169333</xdr:rowOff>
    </xdr:from>
    <xdr:to>
      <xdr:col>10</xdr:col>
      <xdr:colOff>11682</xdr:colOff>
      <xdr:row>5</xdr:row>
      <xdr:rowOff>118652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9" y="698500"/>
          <a:ext cx="4827100" cy="5208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254000</xdr:colOff>
      <xdr:row>2</xdr:row>
      <xdr:rowOff>179917</xdr:rowOff>
    </xdr:from>
    <xdr:to>
      <xdr:col>14</xdr:col>
      <xdr:colOff>890100</xdr:colOff>
      <xdr:row>5</xdr:row>
      <xdr:rowOff>129236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2667" y="730250"/>
          <a:ext cx="4827100" cy="5208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254000</xdr:colOff>
      <xdr:row>2</xdr:row>
      <xdr:rowOff>179917</xdr:rowOff>
    </xdr:from>
    <xdr:to>
      <xdr:col>14</xdr:col>
      <xdr:colOff>890100</xdr:colOff>
      <xdr:row>5</xdr:row>
      <xdr:rowOff>129236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0075" y="732367"/>
          <a:ext cx="4827100" cy="5208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46</xdr:row>
      <xdr:rowOff>76200</xdr:rowOff>
    </xdr:from>
    <xdr:to>
      <xdr:col>7</xdr:col>
      <xdr:colOff>1007575</xdr:colOff>
      <xdr:row>49</xdr:row>
      <xdr:rowOff>25519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8858250"/>
          <a:ext cx="4827100" cy="52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vices.lecoindesentrepreneurs.fr/accompagnement-creation-reprise-entreprise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coindesentrepreneurs.fr/choisir-le-regime-de-tva-de-l-entreprise/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www.lecoindesentrepreneurs.fr/simulateur-charges-sociales-dirigeants-tns-salaries/" TargetMode="External"/><Relationship Id="rId7" Type="http://schemas.openxmlformats.org/officeDocument/2006/relationships/hyperlink" Target="https://www.lecoindesentrepreneurs.fr/ir-ou-is-regime-fiscal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lecoindesentrepreneurs.fr/simulateur-charges-sociales-dirigeants-tns-salaries/" TargetMode="External"/><Relationship Id="rId1" Type="http://schemas.openxmlformats.org/officeDocument/2006/relationships/hyperlink" Target="https://www.lecoindesentrepreneurs.fr/protection-sociale-createur-dentreprise/" TargetMode="External"/><Relationship Id="rId6" Type="http://schemas.openxmlformats.org/officeDocument/2006/relationships/hyperlink" Target="https://www.services.lecoindesentrepreneurs.fr/aide-choix-statut-juridique-entreprise/" TargetMode="External"/><Relationship Id="rId11" Type="http://schemas.openxmlformats.org/officeDocument/2006/relationships/hyperlink" Target="https://www.lecoindesentrepreneurs.fr/demande-de-financement-creation-dentreprise/" TargetMode="External"/><Relationship Id="rId5" Type="http://schemas.openxmlformats.org/officeDocument/2006/relationships/hyperlink" Target="https://www.urssaf.fr/portail/home/utile-et-pratique/estimateur-de-cotisations.html?ut=estimateurs" TargetMode="External"/><Relationship Id="rId10" Type="http://schemas.openxmlformats.org/officeDocument/2006/relationships/hyperlink" Target="https://www.lecoindesentrepreneurs.fr/les-delais-de-paiement/" TargetMode="External"/><Relationship Id="rId4" Type="http://schemas.openxmlformats.org/officeDocument/2006/relationships/hyperlink" Target="https://www.urssaf.fr/portail/home/utile-et-pratique/estimateur-de-cotisations.html?ut=estimateurs" TargetMode="External"/><Relationship Id="rId9" Type="http://schemas.openxmlformats.org/officeDocument/2006/relationships/hyperlink" Target="https://www.lecoindesentrepreneurs.fr/les-delais-de-paiemen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lecoindesentrepreneurs.fr/amortissements-previsionnels/" TargetMode="External"/><Relationship Id="rId1" Type="http://schemas.openxmlformats.org/officeDocument/2006/relationships/hyperlink" Target="https://www.lecoindesentrepreneurs.fr/immobilisations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coindesentrepreneurs.fr/compte-courant-associe/" TargetMode="External"/><Relationship Id="rId2" Type="http://schemas.openxmlformats.org/officeDocument/2006/relationships/hyperlink" Target="https://www.lecoindesentrepreneurs.fr/les-apports-en-capital-social/" TargetMode="External"/><Relationship Id="rId1" Type="http://schemas.openxmlformats.org/officeDocument/2006/relationships/hyperlink" Target="https://www.lecoindesentrepreneurs.fr/les-solutions-de-financement-creation-d-entreprise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services.lecoindesentrepreneurs.fr/financement-professionnel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lecoindesentrepreneurs.fr/marge-commerciale-calcul-taux-et-suivi/" TargetMode="External"/><Relationship Id="rId1" Type="http://schemas.openxmlformats.org/officeDocument/2006/relationships/hyperlink" Target="https://www.lecoindesentrepreneurs.fr/estimation-du-chiffre-daffaires-previsionnel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lecoindesentrepreneurs.fr/creation-societe-combien-ca-coute/" TargetMode="External"/><Relationship Id="rId1" Type="http://schemas.openxmlformats.org/officeDocument/2006/relationships/hyperlink" Target="https://www.lecoindesentrepreneurs.fr/charges-previsionnelles-du-business-plan-partie-1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lecoindesentrepreneurs.fr/protection-sociale-createur-dentrepris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2"/>
  <sheetViews>
    <sheetView showGridLines="0" topLeftCell="A7" workbookViewId="0">
      <selection activeCell="B2" sqref="B2:G2"/>
    </sheetView>
  </sheetViews>
  <sheetFormatPr baseColWidth="10" defaultRowHeight="15" x14ac:dyDescent="0.25"/>
  <cols>
    <col min="1" max="1" width="1.7109375" style="26" customWidth="1"/>
    <col min="2" max="2" width="57.85546875" customWidth="1"/>
    <col min="3" max="3" width="19.140625" customWidth="1"/>
    <col min="4" max="4" width="21" customWidth="1"/>
    <col min="5" max="6" width="27.28515625" customWidth="1"/>
    <col min="7" max="7" width="10.5703125" customWidth="1"/>
    <col min="8" max="8" width="2.28515625" customWidth="1"/>
    <col min="10" max="10" width="13.7109375" customWidth="1"/>
    <col min="12" max="12" width="13" customWidth="1"/>
    <col min="13" max="13" width="13.5703125" customWidth="1"/>
    <col min="16" max="16" width="13.140625" customWidth="1"/>
    <col min="18" max="18" width="13.7109375" customWidth="1"/>
    <col min="19" max="19" width="14.140625" customWidth="1"/>
  </cols>
  <sheetData>
    <row r="1" spans="1:8" ht="5.0999999999999996" customHeight="1" x14ac:dyDescent="0.25">
      <c r="A1" s="38"/>
      <c r="B1" s="31"/>
      <c r="C1" s="31"/>
      <c r="D1" s="31"/>
      <c r="E1" s="31"/>
      <c r="F1" s="31"/>
      <c r="G1" s="31"/>
      <c r="H1" s="39"/>
    </row>
    <row r="2" spans="1:8" ht="35.25" customHeight="1" x14ac:dyDescent="0.25">
      <c r="A2" s="38"/>
      <c r="B2" s="365" t="s">
        <v>387</v>
      </c>
      <c r="C2" s="365"/>
      <c r="D2" s="365"/>
      <c r="E2" s="365"/>
      <c r="F2" s="365"/>
      <c r="G2" s="365"/>
      <c r="H2" s="39"/>
    </row>
    <row r="3" spans="1:8" x14ac:dyDescent="0.25">
      <c r="A3" s="38"/>
      <c r="B3" s="31"/>
      <c r="C3" s="31"/>
      <c r="D3" s="31"/>
      <c r="E3" s="31"/>
      <c r="F3" s="31"/>
      <c r="G3" s="31"/>
      <c r="H3" s="39"/>
    </row>
    <row r="4" spans="1:8" x14ac:dyDescent="0.25">
      <c r="A4" s="38"/>
      <c r="B4" s="31"/>
      <c r="C4" s="31"/>
      <c r="D4" s="31"/>
      <c r="E4" s="31"/>
      <c r="F4" s="31"/>
      <c r="G4" s="31"/>
      <c r="H4" s="39"/>
    </row>
    <row r="5" spans="1:8" x14ac:dyDescent="0.25">
      <c r="A5" s="38"/>
      <c r="B5" s="31"/>
      <c r="C5" s="31"/>
      <c r="D5" s="31"/>
      <c r="E5" s="31"/>
      <c r="F5" s="31"/>
      <c r="G5" s="31"/>
      <c r="H5" s="39"/>
    </row>
    <row r="6" spans="1:8" x14ac:dyDescent="0.25">
      <c r="A6" s="38"/>
      <c r="B6" s="31"/>
      <c r="C6" s="31"/>
      <c r="D6" s="31"/>
      <c r="E6" s="31"/>
      <c r="F6" s="31"/>
      <c r="G6" s="31"/>
      <c r="H6" s="39"/>
    </row>
    <row r="7" spans="1:8" x14ac:dyDescent="0.25">
      <c r="A7" s="38"/>
      <c r="B7" s="31"/>
      <c r="C7" s="31"/>
      <c r="D7" s="31"/>
      <c r="E7" s="31"/>
      <c r="F7" s="31"/>
      <c r="G7" s="31"/>
      <c r="H7" s="39"/>
    </row>
    <row r="8" spans="1:8" ht="23.25" x14ac:dyDescent="0.35">
      <c r="A8" s="38"/>
      <c r="B8" s="366" t="s">
        <v>409</v>
      </c>
      <c r="C8" s="366"/>
      <c r="D8" s="366"/>
      <c r="E8" s="366"/>
      <c r="F8" s="366"/>
      <c r="G8" s="366"/>
      <c r="H8" s="39"/>
    </row>
    <row r="9" spans="1:8" x14ac:dyDescent="0.25">
      <c r="A9" s="38"/>
      <c r="B9" s="31"/>
      <c r="C9" s="31"/>
      <c r="D9" s="31"/>
      <c r="E9" s="31"/>
      <c r="F9" s="31"/>
      <c r="G9" s="31"/>
      <c r="H9" s="39"/>
    </row>
    <row r="10" spans="1:8" ht="15.75" x14ac:dyDescent="0.25">
      <c r="A10" s="38"/>
      <c r="B10" s="201" t="s">
        <v>408</v>
      </c>
      <c r="C10" s="31"/>
      <c r="D10" s="31"/>
      <c r="E10" s="31"/>
      <c r="F10" s="31"/>
      <c r="G10" s="31"/>
      <c r="H10" s="39"/>
    </row>
    <row r="11" spans="1:8" x14ac:dyDescent="0.25">
      <c r="A11" s="38"/>
      <c r="B11" s="31"/>
      <c r="C11" s="31"/>
      <c r="D11" s="31"/>
      <c r="E11" s="31"/>
      <c r="F11" s="31"/>
      <c r="G11" s="31"/>
      <c r="H11" s="39"/>
    </row>
    <row r="12" spans="1:8" x14ac:dyDescent="0.25">
      <c r="A12" s="38"/>
      <c r="B12" s="31" t="s">
        <v>386</v>
      </c>
      <c r="C12" s="31"/>
      <c r="D12" s="31"/>
      <c r="E12" s="31"/>
      <c r="F12" s="31"/>
      <c r="G12" s="31"/>
      <c r="H12" s="39"/>
    </row>
    <row r="13" spans="1:8" x14ac:dyDescent="0.25">
      <c r="A13" s="38"/>
      <c r="B13" s="31" t="s">
        <v>410</v>
      </c>
      <c r="C13" s="31"/>
      <c r="D13" s="31"/>
      <c r="E13" s="31"/>
      <c r="F13" s="31"/>
      <c r="G13" s="31"/>
      <c r="H13" s="39"/>
    </row>
    <row r="14" spans="1:8" x14ac:dyDescent="0.25">
      <c r="A14" s="38"/>
      <c r="B14" s="31" t="s">
        <v>456</v>
      </c>
      <c r="C14" s="31"/>
      <c r="D14" s="31"/>
      <c r="E14" s="31"/>
      <c r="F14" s="31"/>
      <c r="G14" s="31"/>
      <c r="H14" s="39"/>
    </row>
    <row r="15" spans="1:8" x14ac:dyDescent="0.25">
      <c r="A15" s="38"/>
      <c r="B15" s="31"/>
      <c r="C15" s="31"/>
      <c r="D15" s="31"/>
      <c r="E15" s="31"/>
      <c r="F15" s="31"/>
      <c r="G15" s="31"/>
      <c r="H15" s="39"/>
    </row>
    <row r="16" spans="1:8" ht="15.75" x14ac:dyDescent="0.25">
      <c r="A16" s="38"/>
      <c r="B16" s="201" t="s">
        <v>407</v>
      </c>
      <c r="C16" s="31"/>
      <c r="D16" s="31"/>
      <c r="E16" s="31"/>
      <c r="F16" s="31"/>
      <c r="G16" s="31"/>
      <c r="H16" s="39"/>
    </row>
    <row r="17" spans="1:8" x14ac:dyDescent="0.25">
      <c r="A17" s="38"/>
      <c r="B17" s="31"/>
      <c r="C17" s="31"/>
      <c r="D17" s="31"/>
      <c r="E17" s="31"/>
      <c r="F17" s="31"/>
      <c r="G17" s="31"/>
      <c r="H17" s="39"/>
    </row>
    <row r="18" spans="1:8" x14ac:dyDescent="0.25">
      <c r="A18" s="38"/>
      <c r="B18" s="31" t="s">
        <v>701</v>
      </c>
      <c r="C18" s="31"/>
      <c r="D18" s="256"/>
      <c r="E18" s="31"/>
      <c r="F18" s="31"/>
      <c r="G18" s="31"/>
      <c r="H18" s="39"/>
    </row>
    <row r="19" spans="1:8" x14ac:dyDescent="0.25">
      <c r="A19" s="38"/>
      <c r="B19" s="31" t="s">
        <v>700</v>
      </c>
      <c r="C19" s="31"/>
      <c r="D19" s="282"/>
      <c r="E19" s="31"/>
      <c r="F19" s="31"/>
      <c r="G19" s="31"/>
      <c r="H19" s="39"/>
    </row>
    <row r="20" spans="1:8" s="27" customFormat="1" x14ac:dyDescent="0.25">
      <c r="A20" s="38"/>
      <c r="B20" s="31"/>
      <c r="C20" s="31"/>
      <c r="D20" s="31"/>
      <c r="E20" s="31"/>
      <c r="F20" s="31"/>
      <c r="G20" s="31"/>
      <c r="H20" s="39"/>
    </row>
    <row r="21" spans="1:8" s="27" customFormat="1" ht="15.75" x14ac:dyDescent="0.25">
      <c r="A21" s="38"/>
      <c r="B21" s="201" t="s">
        <v>411</v>
      </c>
      <c r="C21" s="31"/>
      <c r="D21" s="31"/>
      <c r="E21" s="31"/>
      <c r="F21" s="31"/>
      <c r="G21" s="31"/>
      <c r="H21" s="39"/>
    </row>
    <row r="22" spans="1:8" s="27" customFormat="1" ht="15.75" x14ac:dyDescent="0.25">
      <c r="A22" s="38"/>
      <c r="B22" s="201"/>
      <c r="C22" s="31"/>
      <c r="D22" s="31"/>
      <c r="E22" s="31"/>
      <c r="F22" s="31"/>
      <c r="G22" s="31"/>
      <c r="H22" s="39"/>
    </row>
    <row r="23" spans="1:8" s="27" customFormat="1" x14ac:dyDescent="0.25">
      <c r="A23" s="38"/>
      <c r="B23" s="31" t="s">
        <v>412</v>
      </c>
      <c r="C23" s="31"/>
      <c r="D23" s="31"/>
      <c r="E23" s="31"/>
      <c r="F23" s="31"/>
      <c r="G23" s="31"/>
      <c r="H23" s="39"/>
    </row>
    <row r="24" spans="1:8" s="27" customFormat="1" x14ac:dyDescent="0.25">
      <c r="A24" s="38"/>
      <c r="B24" s="31" t="s">
        <v>413</v>
      </c>
      <c r="C24" s="31"/>
      <c r="D24" s="31"/>
      <c r="E24" s="31"/>
      <c r="F24" s="31"/>
      <c r="G24" s="31"/>
      <c r="H24" s="39"/>
    </row>
    <row r="25" spans="1:8" s="27" customFormat="1" x14ac:dyDescent="0.25">
      <c r="A25" s="38"/>
      <c r="B25" s="31" t="s">
        <v>416</v>
      </c>
      <c r="C25" s="31"/>
      <c r="D25" s="31"/>
      <c r="E25" s="31"/>
      <c r="F25" s="31"/>
      <c r="G25" s="31"/>
      <c r="H25" s="39"/>
    </row>
    <row r="26" spans="1:8" s="27" customFormat="1" x14ac:dyDescent="0.25">
      <c r="A26" s="38"/>
      <c r="B26" s="283" t="s">
        <v>417</v>
      </c>
      <c r="C26" s="31"/>
      <c r="D26" s="31"/>
      <c r="E26" s="31"/>
      <c r="F26" s="31"/>
      <c r="G26" s="31"/>
      <c r="H26" s="39"/>
    </row>
    <row r="27" spans="1:8" s="27" customFormat="1" x14ac:dyDescent="0.25">
      <c r="A27" s="38"/>
      <c r="B27" s="31"/>
      <c r="C27" s="31"/>
      <c r="D27" s="31"/>
      <c r="E27" s="31"/>
      <c r="F27" s="31"/>
      <c r="G27" s="31"/>
      <c r="H27" s="39"/>
    </row>
    <row r="28" spans="1:8" s="27" customFormat="1" x14ac:dyDescent="0.25">
      <c r="A28" s="38"/>
      <c r="B28" s="177" t="s">
        <v>414</v>
      </c>
      <c r="C28" s="31"/>
      <c r="D28" s="31"/>
      <c r="E28" s="31"/>
      <c r="F28" s="31"/>
      <c r="G28" s="31"/>
      <c r="H28" s="39"/>
    </row>
    <row r="29" spans="1:8" s="27" customFormat="1" x14ac:dyDescent="0.25">
      <c r="A29" s="38"/>
      <c r="B29" s="31"/>
      <c r="C29" s="31"/>
      <c r="D29" s="31"/>
      <c r="E29" s="31"/>
      <c r="F29" s="31"/>
      <c r="G29" s="31"/>
      <c r="H29" s="39"/>
    </row>
    <row r="30" spans="1:8" s="27" customFormat="1" x14ac:dyDescent="0.25">
      <c r="A30" s="38"/>
      <c r="B30" s="31" t="s">
        <v>415</v>
      </c>
      <c r="C30" s="31"/>
      <c r="D30" s="31"/>
      <c r="E30" s="31"/>
      <c r="F30" s="31"/>
      <c r="G30" s="31"/>
      <c r="H30" s="39"/>
    </row>
    <row r="31" spans="1:8" s="27" customFormat="1" x14ac:dyDescent="0.25">
      <c r="A31" s="38"/>
      <c r="B31" s="31"/>
      <c r="C31" s="31"/>
      <c r="D31" s="31"/>
      <c r="E31" s="31"/>
      <c r="F31" s="31"/>
      <c r="G31" s="31"/>
      <c r="H31" s="39"/>
    </row>
    <row r="32" spans="1:8" s="27" customFormat="1" x14ac:dyDescent="0.25">
      <c r="A32" s="42"/>
      <c r="B32" s="43"/>
      <c r="C32" s="43"/>
      <c r="D32" s="43"/>
      <c r="E32" s="43"/>
      <c r="F32" s="43"/>
      <c r="G32" s="43"/>
      <c r="H32" s="44"/>
    </row>
  </sheetData>
  <sheetProtection algorithmName="SHA-512" hashValue="UlMtipQeqeh6xreR6nK+1p6UkBwu+03vDLbxGRSil/q3KWyxUQkwrUbLJMm9mB0pBLNqFh8nzEUHf8ae/Kt6Gw==" saltValue="HrT3kAIrjOH5WTR3CqxNIQ==" spinCount="100000" sheet="1" objects="1" scenarios="1"/>
  <mergeCells count="2">
    <mergeCell ref="B2:G2"/>
    <mergeCell ref="B8:G8"/>
  </mergeCells>
  <hyperlinks>
    <hyperlink ref="B26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C2:H45"/>
  <sheetViews>
    <sheetView showGridLines="0" workbookViewId="0">
      <selection activeCell="C2" sqref="C2:H6"/>
    </sheetView>
  </sheetViews>
  <sheetFormatPr baseColWidth="10" defaultRowHeight="15" x14ac:dyDescent="0.25"/>
  <cols>
    <col min="1" max="1" width="2.140625" customWidth="1"/>
    <col min="2" max="2" width="6.42578125" customWidth="1"/>
    <col min="3" max="3" width="20.85546875" customWidth="1"/>
    <col min="4" max="5" width="12" customWidth="1"/>
    <col min="6" max="6" width="4.28515625" customWidth="1"/>
    <col min="7" max="7" width="12" customWidth="1"/>
    <col min="8" max="8" width="20.85546875" customWidth="1"/>
    <col min="9" max="9" width="6.42578125" customWidth="1"/>
    <col min="10" max="10" width="2.140625" customWidth="1"/>
  </cols>
  <sheetData>
    <row r="2" spans="3:8" x14ac:dyDescent="0.25">
      <c r="C2" s="418" t="s">
        <v>0</v>
      </c>
      <c r="D2" s="419"/>
      <c r="E2" s="419"/>
      <c r="F2" s="419"/>
      <c r="G2" s="419"/>
      <c r="H2" s="419"/>
    </row>
    <row r="3" spans="3:8" ht="15" customHeight="1" x14ac:dyDescent="0.25">
      <c r="C3" s="419"/>
      <c r="D3" s="419"/>
      <c r="E3" s="419"/>
      <c r="F3" s="419"/>
      <c r="G3" s="419"/>
      <c r="H3" s="419"/>
    </row>
    <row r="4" spans="3:8" ht="15" customHeight="1" x14ac:dyDescent="0.25">
      <c r="C4" s="419"/>
      <c r="D4" s="419"/>
      <c r="E4" s="419"/>
      <c r="F4" s="419"/>
      <c r="G4" s="419"/>
      <c r="H4" s="419"/>
    </row>
    <row r="5" spans="3:8" ht="15" customHeight="1" x14ac:dyDescent="0.25">
      <c r="C5" s="419"/>
      <c r="D5" s="419"/>
      <c r="E5" s="419"/>
      <c r="F5" s="419"/>
      <c r="G5" s="419"/>
      <c r="H5" s="419"/>
    </row>
    <row r="6" spans="3:8" x14ac:dyDescent="0.25">
      <c r="C6" s="419"/>
      <c r="D6" s="419"/>
      <c r="E6" s="419"/>
      <c r="F6" s="419"/>
      <c r="G6" s="419"/>
      <c r="H6" s="419"/>
    </row>
    <row r="7" spans="3:8" x14ac:dyDescent="0.25">
      <c r="C7" s="115"/>
      <c r="D7" s="115"/>
      <c r="E7" s="115"/>
      <c r="F7" s="115"/>
      <c r="G7" s="115"/>
      <c r="H7" s="115"/>
    </row>
    <row r="8" spans="3:8" x14ac:dyDescent="0.25">
      <c r="C8" s="115"/>
      <c r="D8" s="115"/>
      <c r="E8" s="115"/>
      <c r="F8" s="115"/>
      <c r="G8" s="115"/>
      <c r="H8" s="115"/>
    </row>
    <row r="9" spans="3:8" x14ac:dyDescent="0.25">
      <c r="C9" s="115"/>
      <c r="D9" s="115"/>
      <c r="E9" s="115"/>
      <c r="F9" s="115"/>
      <c r="G9" s="115"/>
      <c r="H9" s="115"/>
    </row>
    <row r="10" spans="3:8" x14ac:dyDescent="0.25">
      <c r="C10" s="115"/>
      <c r="D10" s="115"/>
      <c r="E10" s="115"/>
      <c r="F10" s="115"/>
      <c r="G10" s="115"/>
      <c r="H10" s="115"/>
    </row>
    <row r="11" spans="3:8" x14ac:dyDescent="0.25">
      <c r="C11" s="115"/>
      <c r="D11" s="115"/>
      <c r="E11" s="115"/>
      <c r="F11" s="115"/>
      <c r="G11" s="115"/>
      <c r="H11" s="115"/>
    </row>
    <row r="12" spans="3:8" ht="15" customHeight="1" x14ac:dyDescent="0.25">
      <c r="C12" s="422">
        <f>Caractéristiques!C12</f>
        <v>0</v>
      </c>
      <c r="D12" s="421"/>
      <c r="E12" s="421"/>
      <c r="F12" s="421"/>
      <c r="G12" s="421"/>
      <c r="H12" s="421"/>
    </row>
    <row r="13" spans="3:8" ht="15" customHeight="1" x14ac:dyDescent="0.25">
      <c r="C13" s="421"/>
      <c r="D13" s="421"/>
      <c r="E13" s="421"/>
      <c r="F13" s="421"/>
      <c r="G13" s="421"/>
      <c r="H13" s="421"/>
    </row>
    <row r="14" spans="3:8" ht="15" customHeight="1" x14ac:dyDescent="0.25">
      <c r="C14" s="421"/>
      <c r="D14" s="421"/>
      <c r="E14" s="421"/>
      <c r="F14" s="421"/>
      <c r="G14" s="421"/>
      <c r="H14" s="421"/>
    </row>
    <row r="15" spans="3:8" x14ac:dyDescent="0.25">
      <c r="C15" s="115"/>
      <c r="D15" s="115"/>
      <c r="E15" s="115"/>
      <c r="F15" s="115"/>
      <c r="G15" s="115"/>
      <c r="H15" s="115"/>
    </row>
    <row r="16" spans="3:8" ht="15" customHeight="1" x14ac:dyDescent="0.25">
      <c r="C16" s="423">
        <f>Caractéristiques!C14</f>
        <v>0</v>
      </c>
      <c r="D16" s="421"/>
      <c r="E16" s="421"/>
      <c r="F16" s="421"/>
      <c r="G16" s="421"/>
      <c r="H16" s="421"/>
    </row>
    <row r="17" spans="3:8" ht="15" customHeight="1" x14ac:dyDescent="0.25">
      <c r="C17" s="421"/>
      <c r="D17" s="421"/>
      <c r="E17" s="421"/>
      <c r="F17" s="421"/>
      <c r="G17" s="421"/>
      <c r="H17" s="421"/>
    </row>
    <row r="18" spans="3:8" x14ac:dyDescent="0.25">
      <c r="C18" s="115"/>
      <c r="D18" s="115"/>
      <c r="E18" s="115"/>
      <c r="F18" s="115"/>
      <c r="G18" s="115"/>
      <c r="H18" s="115"/>
    </row>
    <row r="19" spans="3:8" x14ac:dyDescent="0.25">
      <c r="C19" s="115"/>
      <c r="D19" s="115"/>
      <c r="E19" s="115"/>
      <c r="F19" s="115"/>
      <c r="G19" s="115"/>
      <c r="H19" s="115"/>
    </row>
    <row r="20" spans="3:8" x14ac:dyDescent="0.25">
      <c r="C20" s="115"/>
      <c r="D20" s="115"/>
      <c r="E20" s="115"/>
      <c r="F20" s="115"/>
      <c r="G20" s="115"/>
      <c r="H20" s="115"/>
    </row>
    <row r="21" spans="3:8" ht="15.75" x14ac:dyDescent="0.25">
      <c r="C21" s="115"/>
      <c r="D21" s="420">
        <f>Caractéristiques!C13</f>
        <v>0</v>
      </c>
      <c r="E21" s="421"/>
      <c r="F21" s="421"/>
      <c r="G21" s="421"/>
      <c r="H21" s="115"/>
    </row>
    <row r="22" spans="3:8" ht="15.75" x14ac:dyDescent="0.25">
      <c r="C22" s="115"/>
      <c r="D22" s="420"/>
      <c r="E22" s="421"/>
      <c r="F22" s="421"/>
      <c r="G22" s="421"/>
      <c r="H22" s="115"/>
    </row>
    <row r="23" spans="3:8" x14ac:dyDescent="0.25">
      <c r="C23" s="115"/>
      <c r="D23" s="115"/>
      <c r="E23" s="115"/>
      <c r="F23" s="115"/>
      <c r="G23" s="115"/>
      <c r="H23" s="115"/>
    </row>
    <row r="24" spans="3:8" x14ac:dyDescent="0.25">
      <c r="C24" s="115"/>
      <c r="D24" s="115"/>
      <c r="E24" s="115"/>
      <c r="F24" s="115"/>
      <c r="G24" s="115"/>
      <c r="H24" s="115"/>
    </row>
    <row r="25" spans="3:8" x14ac:dyDescent="0.25">
      <c r="C25" s="115"/>
      <c r="D25" s="115"/>
      <c r="E25" s="115"/>
      <c r="F25" s="115"/>
      <c r="G25" s="115"/>
      <c r="H25" s="115"/>
    </row>
    <row r="26" spans="3:8" x14ac:dyDescent="0.25">
      <c r="C26" s="115"/>
      <c r="D26" s="115"/>
      <c r="E26" s="115"/>
      <c r="F26" s="115"/>
      <c r="G26" s="115"/>
      <c r="H26" s="115"/>
    </row>
    <row r="27" spans="3:8" x14ac:dyDescent="0.25">
      <c r="C27" s="115"/>
      <c r="D27" s="115"/>
      <c r="E27" s="115"/>
      <c r="F27" s="115"/>
      <c r="G27" s="115"/>
      <c r="H27" s="115"/>
    </row>
    <row r="28" spans="3:8" x14ac:dyDescent="0.25">
      <c r="C28" s="115"/>
      <c r="D28" s="115"/>
      <c r="E28" s="115"/>
      <c r="F28" s="115"/>
      <c r="G28" s="115"/>
      <c r="H28" s="115"/>
    </row>
    <row r="29" spans="3:8" x14ac:dyDescent="0.25">
      <c r="C29" s="115"/>
      <c r="D29" s="115"/>
      <c r="E29" s="115"/>
      <c r="F29" s="115"/>
      <c r="G29" s="115"/>
      <c r="H29" s="115"/>
    </row>
    <row r="30" spans="3:8" x14ac:dyDescent="0.25">
      <c r="C30" s="115"/>
      <c r="D30" s="115"/>
      <c r="E30" s="115"/>
      <c r="F30" s="115"/>
      <c r="G30" s="115"/>
      <c r="H30" s="115"/>
    </row>
    <row r="31" spans="3:8" x14ac:dyDescent="0.25">
      <c r="C31" s="115"/>
      <c r="D31" s="115"/>
      <c r="E31" s="115"/>
      <c r="F31" s="115"/>
      <c r="G31" s="115"/>
      <c r="H31" s="115"/>
    </row>
    <row r="32" spans="3:8" x14ac:dyDescent="0.25">
      <c r="C32" s="115"/>
      <c r="D32" s="115"/>
      <c r="E32" s="115"/>
      <c r="F32" s="115"/>
      <c r="G32" s="115"/>
      <c r="H32" s="115"/>
    </row>
    <row r="33" spans="3:8" x14ac:dyDescent="0.25">
      <c r="C33" s="115"/>
      <c r="D33" s="115"/>
      <c r="E33" s="115"/>
      <c r="F33" s="115"/>
      <c r="G33" s="115"/>
      <c r="H33" s="115"/>
    </row>
    <row r="34" spans="3:8" x14ac:dyDescent="0.25">
      <c r="C34" s="115"/>
      <c r="D34" s="115"/>
      <c r="E34" s="115"/>
      <c r="F34" s="115"/>
      <c r="G34" s="115"/>
      <c r="H34" s="115"/>
    </row>
    <row r="35" spans="3:8" x14ac:dyDescent="0.25">
      <c r="C35" s="115"/>
      <c r="D35" s="115"/>
      <c r="E35" s="115"/>
      <c r="F35" s="115"/>
      <c r="G35" s="115"/>
      <c r="H35" s="115"/>
    </row>
    <row r="40" spans="3:8" x14ac:dyDescent="0.25">
      <c r="C40" s="417" t="s">
        <v>464</v>
      </c>
      <c r="D40" s="417"/>
      <c r="E40" s="417"/>
      <c r="F40" s="417"/>
      <c r="G40" s="417"/>
      <c r="H40" s="417"/>
    </row>
    <row r="41" spans="3:8" x14ac:dyDescent="0.25">
      <c r="C41" s="417"/>
      <c r="D41" s="417"/>
      <c r="E41" s="417"/>
      <c r="F41" s="417"/>
      <c r="G41" s="417"/>
      <c r="H41" s="417"/>
    </row>
    <row r="42" spans="3:8" x14ac:dyDescent="0.25">
      <c r="C42" s="417"/>
      <c r="D42" s="417"/>
      <c r="E42" s="417"/>
      <c r="F42" s="417"/>
      <c r="G42" s="417"/>
      <c r="H42" s="417"/>
    </row>
    <row r="43" spans="3:8" x14ac:dyDescent="0.25">
      <c r="D43" s="8"/>
      <c r="E43" s="7"/>
      <c r="G43" s="7"/>
    </row>
    <row r="44" spans="3:8" x14ac:dyDescent="0.25">
      <c r="D44" s="8"/>
      <c r="E44" s="7"/>
      <c r="G44" s="7"/>
    </row>
    <row r="45" spans="3:8" x14ac:dyDescent="0.25">
      <c r="D45" s="8"/>
      <c r="E45" s="7"/>
      <c r="G45" s="7"/>
    </row>
  </sheetData>
  <sheetProtection algorithmName="SHA-512" hashValue="cya3aFBkhK52hPL+NaUu6enkuc+do7+UD1deahROuAgxB+lhCc5nYXQ7p70QZtyT+DGVn6Rj4pvxztzJHBkp4A==" saltValue="W7XSOTlzaw9FT7UoOHvmKw==" spinCount="100000" sheet="1" objects="1" scenarios="1"/>
  <mergeCells count="6">
    <mergeCell ref="C40:H42"/>
    <mergeCell ref="C2:H6"/>
    <mergeCell ref="D21:G21"/>
    <mergeCell ref="D22:G22"/>
    <mergeCell ref="C12:H14"/>
    <mergeCell ref="C16:H17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I36"/>
  <sheetViews>
    <sheetView showGridLines="0" topLeftCell="A10" workbookViewId="0">
      <selection activeCell="G21" sqref="G21"/>
    </sheetView>
  </sheetViews>
  <sheetFormatPr baseColWidth="10" defaultRowHeight="15" x14ac:dyDescent="0.25"/>
  <cols>
    <col min="1" max="1" width="3.5703125" customWidth="1"/>
    <col min="3" max="3" width="15.7109375" customWidth="1"/>
    <col min="4" max="5" width="12.7109375" customWidth="1"/>
    <col min="6" max="6" width="8.7109375" customWidth="1"/>
    <col min="7" max="7" width="12.7109375" customWidth="1"/>
    <col min="8" max="8" width="8.7109375" customWidth="1"/>
  </cols>
  <sheetData>
    <row r="1" spans="1:9" ht="26.25" x14ac:dyDescent="0.4">
      <c r="A1" s="425" t="s">
        <v>465</v>
      </c>
      <c r="B1" s="425"/>
      <c r="C1" s="425"/>
      <c r="D1" s="425"/>
      <c r="E1" s="425"/>
      <c r="F1" s="425"/>
      <c r="G1" s="425"/>
      <c r="H1" s="425"/>
      <c r="I1" s="82"/>
    </row>
    <row r="4" spans="1:9" ht="15.75" x14ac:dyDescent="0.25">
      <c r="A4" s="288" t="s">
        <v>466</v>
      </c>
    </row>
    <row r="6" spans="1:9" x14ac:dyDescent="0.25">
      <c r="D6" s="100" t="s">
        <v>146</v>
      </c>
      <c r="E6" s="100" t="s">
        <v>147</v>
      </c>
      <c r="F6" s="101" t="s">
        <v>51</v>
      </c>
      <c r="G6" s="100" t="s">
        <v>148</v>
      </c>
      <c r="H6" s="101" t="s">
        <v>51</v>
      </c>
    </row>
    <row r="7" spans="1:9" x14ac:dyDescent="0.25">
      <c r="A7" s="426" t="s">
        <v>245</v>
      </c>
      <c r="B7" s="426"/>
      <c r="C7" s="426"/>
      <c r="D7" s="162">
        <f>'Compte de résultat'!C4</f>
        <v>0</v>
      </c>
      <c r="E7" s="162">
        <f>'Compte de résultat'!D4</f>
        <v>0</v>
      </c>
      <c r="F7" s="290">
        <f>IF((D7=0),0,(E7/D7)-1)</f>
        <v>0</v>
      </c>
      <c r="G7" s="162">
        <f>'Compte de résultat'!F4</f>
        <v>0</v>
      </c>
      <c r="H7" s="289">
        <f>IF(E7=0,0,(G7/E7)-1)</f>
        <v>0</v>
      </c>
    </row>
    <row r="8" spans="1:9" x14ac:dyDescent="0.25">
      <c r="A8" s="426" t="s">
        <v>193</v>
      </c>
      <c r="B8" s="426"/>
      <c r="C8" s="426"/>
      <c r="D8" s="162">
        <f>'Compte de résultat'!C25</f>
        <v>0</v>
      </c>
      <c r="E8" s="162">
        <f>'Compte de résultat'!D25</f>
        <v>0</v>
      </c>
      <c r="F8" s="289">
        <f>IF(D8=0,0,(E8/D8)-1)</f>
        <v>0</v>
      </c>
      <c r="G8" s="162">
        <f>'Compte de résultat'!F25</f>
        <v>0</v>
      </c>
      <c r="H8" s="289">
        <f>IF(E8=0,0,(G8/E8)-1)</f>
        <v>0</v>
      </c>
    </row>
    <row r="9" spans="1:9" x14ac:dyDescent="0.25">
      <c r="A9" s="424" t="s">
        <v>475</v>
      </c>
      <c r="B9" s="424"/>
      <c r="C9" s="424"/>
      <c r="D9" s="291">
        <f>IF(D7=0,0,D8/D7)</f>
        <v>0</v>
      </c>
      <c r="E9" s="291">
        <f>IF(E7=0,0,E8/E7)</f>
        <v>0</v>
      </c>
      <c r="F9" s="292"/>
      <c r="G9" s="291">
        <f>IF(G7=0,0,G8/G7)</f>
        <v>0</v>
      </c>
      <c r="H9" s="292"/>
    </row>
    <row r="10" spans="1:9" x14ac:dyDescent="0.25">
      <c r="A10" s="424" t="s">
        <v>296</v>
      </c>
      <c r="B10" s="424"/>
      <c r="C10" s="424"/>
      <c r="D10" s="162">
        <f>'Trésorerie '!M29</f>
        <v>0</v>
      </c>
      <c r="E10" s="162">
        <f>'Trésorerie '!M57</f>
        <v>0</v>
      </c>
      <c r="F10" s="289">
        <f>IF(D10=0,0,(E10/D10)-1)</f>
        <v>0</v>
      </c>
      <c r="G10" s="162">
        <f>'Trésorerie '!M86</f>
        <v>0</v>
      </c>
      <c r="H10" s="289">
        <f>IF(E10=0,0,(G10/E10)-1)</f>
        <v>0</v>
      </c>
    </row>
    <row r="11" spans="1:9" x14ac:dyDescent="0.25">
      <c r="A11" s="424" t="s">
        <v>467</v>
      </c>
      <c r="B11" s="424"/>
      <c r="C11" s="424"/>
      <c r="D11" s="162">
        <f>Bilan!B28</f>
        <v>0</v>
      </c>
      <c r="E11" s="162">
        <f>Bilan!C28</f>
        <v>0</v>
      </c>
      <c r="F11" s="289">
        <f>IF(D11=0,0,(E11/D11)-1)</f>
        <v>0</v>
      </c>
      <c r="G11" s="162">
        <f>Bilan!E28</f>
        <v>0</v>
      </c>
      <c r="H11" s="289">
        <f>IF(E11=0,0,(G11/E11)-1)</f>
        <v>0</v>
      </c>
    </row>
    <row r="13" spans="1:9" ht="15.75" x14ac:dyDescent="0.25">
      <c r="A13" s="288" t="s">
        <v>468</v>
      </c>
    </row>
    <row r="14" spans="1:9" x14ac:dyDescent="0.25">
      <c r="D14" s="100" t="s">
        <v>146</v>
      </c>
      <c r="E14" s="100" t="s">
        <v>147</v>
      </c>
      <c r="F14" s="101" t="s">
        <v>51</v>
      </c>
      <c r="G14" s="100" t="s">
        <v>148</v>
      </c>
      <c r="H14" s="101" t="s">
        <v>51</v>
      </c>
    </row>
    <row r="15" spans="1:9" x14ac:dyDescent="0.25">
      <c r="A15" s="424" t="s">
        <v>469</v>
      </c>
      <c r="B15" s="424"/>
      <c r="C15" s="424"/>
      <c r="D15" s="162">
        <f>IF(((Bilan!B30+Bilan!B31)-Bilan!B18)&gt;0,((Bilan!B30+Bilan!B31)-Bilan!B18),0)</f>
        <v>0</v>
      </c>
      <c r="E15" s="162">
        <f>IF(((Bilan!C30+Bilan!C31)-Bilan!C18)&gt;0,((Bilan!C30+Bilan!C31)-Bilan!C18),0)</f>
        <v>0</v>
      </c>
      <c r="F15" s="289">
        <f>IF(D15=0,0,(E15/D15)-1)</f>
        <v>0</v>
      </c>
      <c r="G15" s="162">
        <f>IF(((Bilan!E30+Bilan!E31)-Bilan!E18)&gt;0,((Bilan!E30+Bilan!E31)-Bilan!E18),0)</f>
        <v>0</v>
      </c>
      <c r="H15" s="289">
        <f>IF(E15=0,0,(G15/E15)-1)</f>
        <v>0</v>
      </c>
    </row>
    <row r="16" spans="1:9" x14ac:dyDescent="0.25">
      <c r="A16" s="424" t="s">
        <v>470</v>
      </c>
      <c r="B16" s="424"/>
      <c r="C16" s="424"/>
      <c r="D16" s="291">
        <f>IF(D15=0,0,D15/D11)</f>
        <v>0</v>
      </c>
      <c r="E16" s="291">
        <f>IF(E15=0,0,E15/E11)</f>
        <v>0</v>
      </c>
      <c r="F16" s="292"/>
      <c r="G16" s="291">
        <f>IF(G15=0,0,G15/G11)</f>
        <v>0</v>
      </c>
      <c r="H16" s="292"/>
    </row>
    <row r="17" spans="1:8" x14ac:dyDescent="0.25">
      <c r="A17" s="424" t="s">
        <v>471</v>
      </c>
      <c r="B17" s="424"/>
      <c r="C17" s="424"/>
      <c r="D17" s="162">
        <f>D11-D15</f>
        <v>0</v>
      </c>
      <c r="E17" s="162">
        <f>E11-E15</f>
        <v>0</v>
      </c>
      <c r="F17" s="289">
        <f>IF(D17=0,0,(E17/D17)-1)</f>
        <v>0</v>
      </c>
      <c r="G17" s="162">
        <f>G11-G15</f>
        <v>0</v>
      </c>
      <c r="H17" s="289">
        <f>IF(E17=0,0,(G17/E17)-1)</f>
        <v>0</v>
      </c>
    </row>
    <row r="19" spans="1:8" ht="15.75" x14ac:dyDescent="0.25">
      <c r="A19" s="288" t="s">
        <v>473</v>
      </c>
    </row>
    <row r="20" spans="1:8" x14ac:dyDescent="0.25">
      <c r="D20" s="100" t="s">
        <v>146</v>
      </c>
      <c r="E20" s="100" t="s">
        <v>147</v>
      </c>
      <c r="F20" s="101" t="s">
        <v>51</v>
      </c>
      <c r="G20" s="100" t="s">
        <v>148</v>
      </c>
      <c r="H20" s="101" t="s">
        <v>51</v>
      </c>
    </row>
    <row r="21" spans="1:8" x14ac:dyDescent="0.25">
      <c r="A21" s="424" t="s">
        <v>472</v>
      </c>
      <c r="B21" s="424"/>
      <c r="C21" s="424"/>
      <c r="D21" s="54">
        <f>Bilan!B19-Bilan!B39</f>
        <v>0</v>
      </c>
      <c r="E21" s="54">
        <f>Bilan!C19-Bilan!C39</f>
        <v>0</v>
      </c>
      <c r="F21" s="289">
        <f>IF(D21=0,0,(E21/D21)-1)</f>
        <v>0</v>
      </c>
      <c r="G21" s="54">
        <f>Bilan!E19-Bilan!E39</f>
        <v>0</v>
      </c>
      <c r="H21" s="289">
        <f>IF(E21=0,0,(G21/E21)-1)</f>
        <v>0</v>
      </c>
    </row>
    <row r="22" spans="1:8" x14ac:dyDescent="0.25">
      <c r="A22" s="424" t="s">
        <v>474</v>
      </c>
      <c r="B22" s="424"/>
      <c r="C22" s="424"/>
      <c r="D22" s="54">
        <f>Bilan!B28-(Bilan!B10-Bilan!B11)</f>
        <v>0</v>
      </c>
      <c r="E22" s="54">
        <f>Bilan!C28-(Bilan!C10-Bilan!C11)</f>
        <v>0</v>
      </c>
      <c r="F22" s="289">
        <f>IF(D22=0,0,(E22/D22)-1)</f>
        <v>0</v>
      </c>
      <c r="G22" s="54">
        <f>Bilan!E28-(Bilan!E10-Bilan!E11)</f>
        <v>0</v>
      </c>
      <c r="H22" s="289">
        <f>IF(E22=0,0,(G22/E22)-1)</f>
        <v>0</v>
      </c>
    </row>
    <row r="24" spans="1:8" ht="15.75" x14ac:dyDescent="0.25">
      <c r="A24" s="288" t="s">
        <v>685</v>
      </c>
    </row>
    <row r="26" spans="1:8" x14ac:dyDescent="0.25">
      <c r="A26" s="3" t="s">
        <v>682</v>
      </c>
      <c r="E26" s="162">
        <f>Financements!O18+Financements!O19</f>
        <v>0</v>
      </c>
    </row>
    <row r="27" spans="1:8" x14ac:dyDescent="0.25">
      <c r="A27" s="3" t="s">
        <v>681</v>
      </c>
      <c r="E27" s="162">
        <f>SUMIF(Financements!D42:D44,"Année 1",Financements!C42:C44)</f>
        <v>0</v>
      </c>
    </row>
    <row r="28" spans="1:8" x14ac:dyDescent="0.25">
      <c r="A28" s="3" t="s">
        <v>683</v>
      </c>
      <c r="E28" s="291">
        <f>IF(E26+E27=0,0,E26/(E27+E26))</f>
        <v>0</v>
      </c>
    </row>
    <row r="29" spans="1:8" x14ac:dyDescent="0.25">
      <c r="A29" s="357" t="s">
        <v>684</v>
      </c>
    </row>
    <row r="32" spans="1:8" ht="15.75" x14ac:dyDescent="0.25">
      <c r="A32" s="288" t="s">
        <v>476</v>
      </c>
    </row>
    <row r="33" spans="1:1" ht="15.75" x14ac:dyDescent="0.25">
      <c r="A33" s="288"/>
    </row>
    <row r="34" spans="1:1" x14ac:dyDescent="0.25">
      <c r="A34" s="285" t="s">
        <v>477</v>
      </c>
    </row>
    <row r="35" spans="1:1" x14ac:dyDescent="0.25">
      <c r="A35" s="285" t="s">
        <v>478</v>
      </c>
    </row>
    <row r="36" spans="1:1" x14ac:dyDescent="0.25">
      <c r="A36" s="285" t="s">
        <v>479</v>
      </c>
    </row>
  </sheetData>
  <sheetProtection algorithmName="SHA-512" hashValue="0wNREbClFY7daf3R+mxgxAPbGePhbJnSYYvyNOACGBzuB37habQJF9AquT1rjvybqMNnj0tjwN+PjKg6uShhbw==" saltValue="aX+X7VTOQtlratURoC6/tg==" spinCount="100000" sheet="1" objects="1" scenarios="1"/>
  <mergeCells count="11">
    <mergeCell ref="A22:C22"/>
    <mergeCell ref="A1:H1"/>
    <mergeCell ref="A7:C7"/>
    <mergeCell ref="A8:C8"/>
    <mergeCell ref="A10:C10"/>
    <mergeCell ref="A11:C11"/>
    <mergeCell ref="A9:C9"/>
    <mergeCell ref="A15:C15"/>
    <mergeCell ref="A16:C16"/>
    <mergeCell ref="A17:C17"/>
    <mergeCell ref="A21:C21"/>
  </mergeCells>
  <conditionalFormatting sqref="E28">
    <cfRule type="cellIs" dxfId="1" priority="1" operator="lessThan">
      <formula>0.2</formula>
    </cfRule>
    <cfRule type="cellIs" dxfId="0" priority="2" operator="greaterThan">
      <formula>0.19</formula>
    </cfRule>
  </conditionalFormatting>
  <hyperlinks>
    <hyperlink ref="A34" location="'Compte de résultat'!A1" display="Compte de résultat prévisionnel"/>
    <hyperlink ref="A35" location="Bilan!A1" display="Bilan prévisionnel"/>
    <hyperlink ref="A36" location="'Trésorerie '!A1" display="Budget de trésorerie prévisionnel"/>
  </hyperlink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pageSetUpPr fitToPage="1"/>
  </sheetPr>
  <dimension ref="A1:M20"/>
  <sheetViews>
    <sheetView showGridLines="0" workbookViewId="0">
      <selection activeCell="C20" sqref="C20"/>
    </sheetView>
  </sheetViews>
  <sheetFormatPr baseColWidth="10" defaultRowHeight="15" x14ac:dyDescent="0.25"/>
  <cols>
    <col min="1" max="1" width="3.5703125" customWidth="1"/>
    <col min="3" max="3" width="15.7109375" customWidth="1"/>
    <col min="4" max="5" width="12.7109375" customWidth="1"/>
    <col min="6" max="6" width="8.7109375" customWidth="1"/>
    <col min="7" max="7" width="12.7109375" customWidth="1"/>
    <col min="8" max="8" width="8.7109375" customWidth="1"/>
  </cols>
  <sheetData>
    <row r="1" spans="1:13" ht="26.25" x14ac:dyDescent="0.4">
      <c r="A1" s="425" t="s">
        <v>654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</row>
    <row r="3" spans="1:13" ht="15.75" x14ac:dyDescent="0.25">
      <c r="A3" s="288" t="s">
        <v>680</v>
      </c>
    </row>
    <row r="20" spans="1:1" ht="15.75" x14ac:dyDescent="0.25">
      <c r="A20" s="288" t="s">
        <v>655</v>
      </c>
    </row>
  </sheetData>
  <sheetProtection algorithmName="SHA-512" hashValue="KAb8nJvOJo3ABDey7c7Dnzr7Cqa7gXjmr61KMn2rRcz/JTtG5vzgc51YL/xy/wkz4po6MCA87mpl2NwdUsAwDw==" saltValue="lJT2IQQyDQZYSAgwJSiy5A==" spinCount="100000" sheet="1" objects="1" scenarios="1"/>
  <mergeCells count="1">
    <mergeCell ref="A1:M1"/>
  </mergeCells>
  <pageMargins left="0.7" right="0.7" top="0.75" bottom="0.75" header="0.3" footer="0.3"/>
  <pageSetup paperSize="9" scale="9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G25"/>
  <sheetViews>
    <sheetView showGridLines="0" workbookViewId="0">
      <selection activeCell="N22" sqref="N22"/>
    </sheetView>
  </sheetViews>
  <sheetFormatPr baseColWidth="10" defaultRowHeight="15" x14ac:dyDescent="0.25"/>
  <cols>
    <col min="1" max="1" width="5.7109375" customWidth="1"/>
    <col min="2" max="2" width="29.5703125" customWidth="1"/>
    <col min="3" max="4" width="14.7109375" customWidth="1"/>
    <col min="5" max="5" width="10.7109375" style="21" customWidth="1"/>
    <col min="6" max="6" width="14.7109375" customWidth="1"/>
    <col min="7" max="7" width="10.7109375" style="21" customWidth="1"/>
    <col min="8" max="8" width="2.42578125" customWidth="1"/>
    <col min="9" max="9" width="5.7109375" customWidth="1"/>
  </cols>
  <sheetData>
    <row r="1" spans="1:7" ht="24.75" customHeight="1" x14ac:dyDescent="0.25">
      <c r="A1" s="435" t="s">
        <v>250</v>
      </c>
      <c r="B1" s="435"/>
      <c r="C1" s="435"/>
      <c r="D1" s="435"/>
      <c r="E1" s="435"/>
      <c r="F1" s="435"/>
      <c r="G1" s="435"/>
    </row>
    <row r="2" spans="1:7" ht="18" customHeight="1" x14ac:dyDescent="0.25"/>
    <row r="3" spans="1:7" ht="24" customHeight="1" x14ac:dyDescent="0.25">
      <c r="C3" s="100" t="s">
        <v>146</v>
      </c>
      <c r="D3" s="100" t="s">
        <v>147</v>
      </c>
      <c r="E3" s="101" t="s">
        <v>51</v>
      </c>
      <c r="F3" s="100" t="s">
        <v>148</v>
      </c>
      <c r="G3" s="101" t="s">
        <v>51</v>
      </c>
    </row>
    <row r="4" spans="1:7" s="28" customFormat="1" ht="15.95" customHeight="1" x14ac:dyDescent="0.25">
      <c r="A4" s="440" t="s">
        <v>245</v>
      </c>
      <c r="B4" s="441"/>
      <c r="C4" s="122">
        <f>Activité!O29</f>
        <v>0</v>
      </c>
      <c r="D4" s="122">
        <f>Activité!O47</f>
        <v>0</v>
      </c>
      <c r="E4" s="116" t="str">
        <f>IF(C4=0,"",(D4/C4)-1)</f>
        <v/>
      </c>
      <c r="F4" s="122">
        <f>Activité!O65</f>
        <v>0</v>
      </c>
      <c r="G4" s="116" t="str">
        <f>IF(D4=0,"",(F4/D4)-1)</f>
        <v/>
      </c>
    </row>
    <row r="5" spans="1:7" s="28" customFormat="1" ht="15.95" customHeight="1" x14ac:dyDescent="0.25">
      <c r="A5" s="436" t="s">
        <v>84</v>
      </c>
      <c r="B5" s="437"/>
      <c r="C5" s="95">
        <f>'Calcul prévi'!O608</f>
        <v>0</v>
      </c>
      <c r="D5" s="95">
        <f>'Calcul prévi'!O616</f>
        <v>0</v>
      </c>
      <c r="E5" s="22" t="str">
        <f t="shared" ref="E5:E24" si="0">IF(C5=0,"",(D5/C5)-1)</f>
        <v/>
      </c>
      <c r="F5" s="95">
        <f>'Calcul prévi'!O624</f>
        <v>0</v>
      </c>
      <c r="G5" s="22" t="str">
        <f t="shared" ref="G5:G25" si="1">IF(D5=0,"",(F5/D5)-1)</f>
        <v/>
      </c>
    </row>
    <row r="6" spans="1:7" ht="18" customHeight="1" x14ac:dyDescent="0.25">
      <c r="A6" s="438" t="s">
        <v>83</v>
      </c>
      <c r="B6" s="439"/>
      <c r="C6" s="137">
        <f>C4+SUM(C5:C5)</f>
        <v>0</v>
      </c>
      <c r="D6" s="137">
        <f>D4+SUM(D5:D5)</f>
        <v>0</v>
      </c>
      <c r="E6" s="25" t="str">
        <f t="shared" si="0"/>
        <v/>
      </c>
      <c r="F6" s="137">
        <f>F4+SUM(F5:F5)</f>
        <v>0</v>
      </c>
      <c r="G6" s="25" t="str">
        <f t="shared" si="1"/>
        <v/>
      </c>
    </row>
    <row r="7" spans="1:7" s="28" customFormat="1" ht="15.95" customHeight="1" x14ac:dyDescent="0.25">
      <c r="A7" s="436" t="s">
        <v>50</v>
      </c>
      <c r="B7" s="437"/>
      <c r="C7" s="95">
        <f>Activité!O32</f>
        <v>0</v>
      </c>
      <c r="D7" s="95">
        <f>Activité!O50</f>
        <v>0</v>
      </c>
      <c r="E7" s="22" t="str">
        <f t="shared" si="0"/>
        <v/>
      </c>
      <c r="F7" s="95">
        <f>Activité!O68</f>
        <v>0</v>
      </c>
      <c r="G7" s="22" t="str">
        <f t="shared" si="1"/>
        <v/>
      </c>
    </row>
    <row r="8" spans="1:7" s="28" customFormat="1" ht="15.95" customHeight="1" x14ac:dyDescent="0.25">
      <c r="A8" s="436" t="s">
        <v>26</v>
      </c>
      <c r="B8" s="437"/>
      <c r="C8" s="95">
        <f>Activité!O34</f>
        <v>0</v>
      </c>
      <c r="D8" s="95">
        <f>Activité!O52</f>
        <v>0</v>
      </c>
      <c r="E8" s="22" t="str">
        <f t="shared" si="0"/>
        <v/>
      </c>
      <c r="F8" s="95">
        <f>Activité!O70</f>
        <v>0</v>
      </c>
      <c r="G8" s="22" t="str">
        <f t="shared" si="1"/>
        <v/>
      </c>
    </row>
    <row r="9" spans="1:7" ht="15.95" customHeight="1" x14ac:dyDescent="0.25">
      <c r="A9" s="428" t="s">
        <v>375</v>
      </c>
      <c r="B9" s="429"/>
      <c r="C9" s="243">
        <f>C6-(C7+C8)</f>
        <v>0</v>
      </c>
      <c r="D9" s="243">
        <f>D6-(D7+D8)</f>
        <v>0</v>
      </c>
      <c r="E9" s="244" t="str">
        <f t="shared" si="0"/>
        <v/>
      </c>
      <c r="F9" s="243">
        <f>F6-(F7+F8)</f>
        <v>0</v>
      </c>
      <c r="G9" s="244" t="str">
        <f t="shared" si="1"/>
        <v/>
      </c>
    </row>
    <row r="10" spans="1:7" s="28" customFormat="1" ht="15.95" customHeight="1" x14ac:dyDescent="0.25">
      <c r="A10" s="430" t="s">
        <v>40</v>
      </c>
      <c r="B10" s="442"/>
      <c r="C10" s="126">
        <f>'Frais généraux'!C71</f>
        <v>0</v>
      </c>
      <c r="D10" s="95">
        <f>'Frais généraux'!E71</f>
        <v>0</v>
      </c>
      <c r="E10" s="22" t="str">
        <f t="shared" si="0"/>
        <v/>
      </c>
      <c r="F10" s="95">
        <f>'Frais généraux'!G71</f>
        <v>0</v>
      </c>
      <c r="G10" s="22" t="str">
        <f t="shared" si="1"/>
        <v/>
      </c>
    </row>
    <row r="11" spans="1:7" s="28" customFormat="1" ht="15.95" customHeight="1" x14ac:dyDescent="0.25">
      <c r="A11" s="430" t="s">
        <v>86</v>
      </c>
      <c r="B11" s="431"/>
      <c r="C11" s="127">
        <f>+'Calcul prévi'!C567</f>
        <v>0</v>
      </c>
      <c r="D11" s="128">
        <f>+'Calcul prévi'!D567</f>
        <v>0</v>
      </c>
      <c r="E11" s="22" t="str">
        <f t="shared" si="0"/>
        <v/>
      </c>
      <c r="F11" s="128">
        <f>+'Calcul prévi'!E567</f>
        <v>0</v>
      </c>
      <c r="G11" s="22" t="str">
        <f t="shared" si="1"/>
        <v/>
      </c>
    </row>
    <row r="12" spans="1:7" s="28" customFormat="1" ht="15.95" customHeight="1" x14ac:dyDescent="0.25">
      <c r="A12" s="430" t="s">
        <v>346</v>
      </c>
      <c r="B12" s="431"/>
      <c r="C12" s="127">
        <f>IF(AND(Caractéristiques!$C$35="IR",Caractéristiques!$C$25="Sécurité sociale des indépendants (RSI)"),0,Salaires!O21)</f>
        <v>0</v>
      </c>
      <c r="D12" s="128">
        <f>IF(AND(Caractéristiques!$C$35="IR",Caractéristiques!$C$25="Sécurité sociale des indépendants (RSI)"),0,Salaires!O30)</f>
        <v>0</v>
      </c>
      <c r="E12" s="22" t="str">
        <f t="shared" si="0"/>
        <v/>
      </c>
      <c r="F12" s="128">
        <f>IF(AND(Caractéristiques!$C$35="IR",Caractéristiques!$C$25="Sécurité sociale des indépendants (RSI)"),0,Salaires!O39)</f>
        <v>0</v>
      </c>
      <c r="G12" s="22" t="str">
        <f t="shared" si="1"/>
        <v/>
      </c>
    </row>
    <row r="13" spans="1:7" s="28" customFormat="1" ht="15.95" customHeight="1" x14ac:dyDescent="0.25">
      <c r="A13" s="430" t="s">
        <v>174</v>
      </c>
      <c r="B13" s="431"/>
      <c r="C13" s="127">
        <f>IF(Caractéristiques!$C$25="Régime général de la sécurité sociale",'Calcul prévi'!K352,IF(AND(Caractéristiques!$C$35="IS",Caractéristiques!$C$25="Sécurité sociale des indépendants (RSI)"),'Calcul prévi'!K351,'Calcul prévi'!K351))</f>
        <v>0</v>
      </c>
      <c r="D13" s="451">
        <f>IF(Caractéristiques!$C$25="Régime général de la sécurité sociale",'Calcul prévi'!K374,IF(Caractéristiques!$C$25="Sécurité sociale des indépendants (RSI)",'Calcul prévi'!K373,0))</f>
        <v>0</v>
      </c>
      <c r="E13" s="22" t="str">
        <f t="shared" si="0"/>
        <v/>
      </c>
      <c r="F13" s="451">
        <f>IF(Caractéristiques!$C$25="Régime général de la sécurité sociale",'Calcul prévi'!K396,IF(Caractéristiques!$C$25="Sécurité sociale des indépendants (RSI)",'Calcul prévi'!K395,0))</f>
        <v>0</v>
      </c>
      <c r="G13" s="22" t="str">
        <f t="shared" si="1"/>
        <v/>
      </c>
    </row>
    <row r="14" spans="1:7" s="28" customFormat="1" ht="15.95" customHeight="1" x14ac:dyDescent="0.25">
      <c r="A14" s="430" t="s">
        <v>345</v>
      </c>
      <c r="B14" s="431"/>
      <c r="C14" s="127">
        <f>Salaires!O55</f>
        <v>0</v>
      </c>
      <c r="D14" s="128">
        <f>Salaires!O72</f>
        <v>0</v>
      </c>
      <c r="E14" s="22" t="str">
        <f t="shared" si="0"/>
        <v/>
      </c>
      <c r="F14" s="128">
        <f>Salaires!O89</f>
        <v>0</v>
      </c>
      <c r="G14" s="22" t="str">
        <f t="shared" si="1"/>
        <v/>
      </c>
    </row>
    <row r="15" spans="1:7" s="28" customFormat="1" ht="15.95" customHeight="1" x14ac:dyDescent="0.25">
      <c r="A15" s="430" t="s">
        <v>175</v>
      </c>
      <c r="B15" s="431"/>
      <c r="C15" s="127">
        <f>Salaires!O56</f>
        <v>0</v>
      </c>
      <c r="D15" s="128">
        <f>Salaires!O73</f>
        <v>0</v>
      </c>
      <c r="E15" s="22" t="str">
        <f t="shared" si="0"/>
        <v/>
      </c>
      <c r="F15" s="128">
        <f>Salaires!O90</f>
        <v>0</v>
      </c>
      <c r="G15" s="22" t="str">
        <f t="shared" si="1"/>
        <v/>
      </c>
    </row>
    <row r="16" spans="1:7" s="28" customFormat="1" ht="15.95" customHeight="1" x14ac:dyDescent="0.25">
      <c r="A16" s="430" t="s">
        <v>87</v>
      </c>
      <c r="B16" s="431"/>
      <c r="C16" s="127">
        <f>'Calcul prévi'!C502+'Calcul prévi'!C507+'Calcul prévi'!C512</f>
        <v>0</v>
      </c>
      <c r="D16" s="128">
        <f>'Calcul prévi'!D502+'Calcul prévi'!D507+'Calcul prévi'!D512</f>
        <v>0</v>
      </c>
      <c r="E16" s="22" t="str">
        <f t="shared" si="0"/>
        <v/>
      </c>
      <c r="F16" s="128">
        <f>'Calcul prévi'!E502+'Calcul prévi'!E507+'Calcul prévi'!E512</f>
        <v>0</v>
      </c>
      <c r="G16" s="22" t="str">
        <f t="shared" si="1"/>
        <v/>
      </c>
    </row>
    <row r="17" spans="1:7" s="28" customFormat="1" ht="15.95" customHeight="1" x14ac:dyDescent="0.25">
      <c r="A17" s="430" t="s">
        <v>88</v>
      </c>
      <c r="B17" s="431"/>
      <c r="C17" s="127">
        <f>'Calcul prévi'!O582</f>
        <v>0</v>
      </c>
      <c r="D17" s="128">
        <f>'Calcul prévi'!O590</f>
        <v>0</v>
      </c>
      <c r="E17" s="22" t="str">
        <f t="shared" si="0"/>
        <v/>
      </c>
      <c r="F17" s="128">
        <f>'Calcul prévi'!O598</f>
        <v>0</v>
      </c>
      <c r="G17" s="22" t="str">
        <f t="shared" si="1"/>
        <v/>
      </c>
    </row>
    <row r="18" spans="1:7" ht="18" customHeight="1" x14ac:dyDescent="0.25">
      <c r="A18" s="433" t="s">
        <v>85</v>
      </c>
      <c r="B18" s="434"/>
      <c r="C18" s="135">
        <f>SUM(C10:C17)+C7+C8</f>
        <v>0</v>
      </c>
      <c r="D18" s="135">
        <f>SUM(D10:D17)+D7+D8</f>
        <v>0</v>
      </c>
      <c r="E18" s="136" t="str">
        <f t="shared" si="0"/>
        <v/>
      </c>
      <c r="F18" s="135">
        <f>SUM(F10:F17)+F7+F8</f>
        <v>0</v>
      </c>
      <c r="G18" s="136" t="str">
        <f t="shared" si="1"/>
        <v/>
      </c>
    </row>
    <row r="19" spans="1:7" ht="18" customHeight="1" x14ac:dyDescent="0.25">
      <c r="A19" s="130" t="s">
        <v>91</v>
      </c>
      <c r="B19" s="129"/>
      <c r="C19" s="138">
        <f>C6-C18</f>
        <v>0</v>
      </c>
      <c r="D19" s="138">
        <f>D6-D18</f>
        <v>0</v>
      </c>
      <c r="E19" s="124" t="str">
        <f t="shared" si="0"/>
        <v/>
      </c>
      <c r="F19" s="138">
        <f>F6-F18</f>
        <v>0</v>
      </c>
      <c r="G19" s="124" t="str">
        <f t="shared" si="1"/>
        <v/>
      </c>
    </row>
    <row r="20" spans="1:7" s="28" customFormat="1" ht="15.95" customHeight="1" x14ac:dyDescent="0.25">
      <c r="A20" s="432" t="s">
        <v>89</v>
      </c>
      <c r="B20" s="432"/>
      <c r="C20" s="139"/>
      <c r="D20" s="140"/>
      <c r="E20" s="24" t="str">
        <f t="shared" si="0"/>
        <v/>
      </c>
      <c r="F20" s="141"/>
      <c r="G20" s="24" t="str">
        <f t="shared" si="1"/>
        <v/>
      </c>
    </row>
    <row r="21" spans="1:7" s="28" customFormat="1" ht="15.95" customHeight="1" x14ac:dyDescent="0.25">
      <c r="A21" s="427" t="s">
        <v>195</v>
      </c>
      <c r="B21" s="427"/>
      <c r="C21" s="142">
        <f>'Calcul prévi'!N337</f>
        <v>0</v>
      </c>
      <c r="D21" s="142">
        <f>'Calcul prévi'!N338</f>
        <v>0</v>
      </c>
      <c r="E21" s="23" t="str">
        <f t="shared" si="0"/>
        <v/>
      </c>
      <c r="F21" s="142">
        <f>'Calcul prévi'!N339</f>
        <v>0</v>
      </c>
      <c r="G21" s="23" t="str">
        <f t="shared" si="1"/>
        <v/>
      </c>
    </row>
    <row r="22" spans="1:7" ht="18" customHeight="1" x14ac:dyDescent="0.25">
      <c r="A22" s="132" t="s">
        <v>90</v>
      </c>
      <c r="B22" s="129"/>
      <c r="C22" s="125">
        <f>C20-C21</f>
        <v>0</v>
      </c>
      <c r="D22" s="125">
        <f>D20-D21</f>
        <v>0</v>
      </c>
      <c r="E22" s="124" t="str">
        <f t="shared" si="0"/>
        <v/>
      </c>
      <c r="F22" s="125">
        <f>F20-F21</f>
        <v>0</v>
      </c>
      <c r="G22" s="124" t="str">
        <f t="shared" si="1"/>
        <v/>
      </c>
    </row>
    <row r="23" spans="1:7" ht="18" customHeight="1" x14ac:dyDescent="0.25">
      <c r="A23" s="130" t="s">
        <v>113</v>
      </c>
      <c r="B23" s="130"/>
      <c r="C23" s="125">
        <f>C22+C19</f>
        <v>0</v>
      </c>
      <c r="D23" s="125">
        <f>D22+D19</f>
        <v>0</v>
      </c>
      <c r="E23" s="124" t="str">
        <f t="shared" si="0"/>
        <v/>
      </c>
      <c r="F23" s="125">
        <f>F22+F19</f>
        <v>0</v>
      </c>
      <c r="G23" s="124" t="str">
        <f t="shared" si="1"/>
        <v/>
      </c>
    </row>
    <row r="24" spans="1:7" s="28" customFormat="1" ht="15.95" customHeight="1" x14ac:dyDescent="0.25">
      <c r="A24" s="427" t="s">
        <v>54</v>
      </c>
      <c r="B24" s="427"/>
      <c r="C24" s="143">
        <f>IF(Caractéristiques!$C$35="IS",'Calcul prévi'!C575,0)</f>
        <v>0</v>
      </c>
      <c r="D24" s="143">
        <f>IF(Caractéristiques!$C$35="IS",'Calcul prévi'!D575,0)</f>
        <v>0</v>
      </c>
      <c r="E24" s="131" t="str">
        <f t="shared" si="0"/>
        <v/>
      </c>
      <c r="F24" s="143">
        <f>IF(Caractéristiques!$C$35="IS",'Calcul prévi'!E575,0)</f>
        <v>0</v>
      </c>
      <c r="G24" s="131" t="str">
        <f t="shared" si="1"/>
        <v/>
      </c>
    </row>
    <row r="25" spans="1:7" ht="21.95" customHeight="1" x14ac:dyDescent="0.25">
      <c r="A25" s="190" t="s">
        <v>344</v>
      </c>
      <c r="B25" s="133"/>
      <c r="C25" s="134">
        <f>C23-C24</f>
        <v>0</v>
      </c>
      <c r="D25" s="134">
        <f>D23-D24</f>
        <v>0</v>
      </c>
      <c r="E25" s="123" t="str">
        <f>IF(C25=0,"",(D25/C25)-1)</f>
        <v/>
      </c>
      <c r="F25" s="134">
        <f>F23-F24</f>
        <v>0</v>
      </c>
      <c r="G25" s="123" t="str">
        <f t="shared" si="1"/>
        <v/>
      </c>
    </row>
  </sheetData>
  <sheetProtection algorithmName="SHA-512" hashValue="xcpDvoLzXQICL32hU6Xp/Lbz37cUwmSrukqX74XqbAneAJXg4aP19yPI4Ry6kz3+y2jY/y6k90FYhLSty3QNgw==" saltValue="rQLbA51gi5JXMWSxemei/Q==" spinCount="100000" sheet="1" objects="1" scenarios="1"/>
  <mergeCells count="19">
    <mergeCell ref="A1:G1"/>
    <mergeCell ref="A11:B11"/>
    <mergeCell ref="A7:B7"/>
    <mergeCell ref="A6:B6"/>
    <mergeCell ref="A8:B8"/>
    <mergeCell ref="A5:B5"/>
    <mergeCell ref="A4:B4"/>
    <mergeCell ref="A10:B10"/>
    <mergeCell ref="A24:B24"/>
    <mergeCell ref="A21:B21"/>
    <mergeCell ref="A9:B9"/>
    <mergeCell ref="A16:B16"/>
    <mergeCell ref="A20:B20"/>
    <mergeCell ref="A12:B12"/>
    <mergeCell ref="A13:B13"/>
    <mergeCell ref="A17:B17"/>
    <mergeCell ref="A18:B18"/>
    <mergeCell ref="A14:B14"/>
    <mergeCell ref="A15:B15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G40"/>
  <sheetViews>
    <sheetView showGridLines="0" topLeftCell="A10" zoomScaleNormal="100" workbookViewId="0">
      <selection activeCell="E19" sqref="E19"/>
    </sheetView>
  </sheetViews>
  <sheetFormatPr baseColWidth="10" defaultRowHeight="15" x14ac:dyDescent="0.25"/>
  <cols>
    <col min="1" max="1" width="34.28515625" customWidth="1"/>
    <col min="2" max="3" width="15.7109375" customWidth="1"/>
    <col min="4" max="4" width="10.7109375" style="21" customWidth="1"/>
    <col min="5" max="5" width="15.7109375" customWidth="1"/>
    <col min="6" max="6" width="10.7109375" style="21" customWidth="1"/>
  </cols>
  <sheetData>
    <row r="1" spans="1:7" ht="26.25" x14ac:dyDescent="0.4">
      <c r="A1" s="425" t="s">
        <v>209</v>
      </c>
      <c r="B1" s="425"/>
      <c r="C1" s="425"/>
      <c r="D1" s="425"/>
      <c r="E1" s="425"/>
      <c r="F1" s="425"/>
      <c r="G1" s="104"/>
    </row>
    <row r="2" spans="1:7" ht="11.25" customHeight="1" x14ac:dyDescent="0.25"/>
    <row r="3" spans="1:7" ht="24" customHeight="1" x14ac:dyDescent="0.25">
      <c r="A3" s="170" t="s">
        <v>301</v>
      </c>
      <c r="B3" s="100" t="s">
        <v>146</v>
      </c>
      <c r="C3" s="100" t="s">
        <v>147</v>
      </c>
      <c r="D3" s="101" t="s">
        <v>51</v>
      </c>
      <c r="E3" s="100" t="s">
        <v>148</v>
      </c>
      <c r="F3" s="101" t="s">
        <v>51</v>
      </c>
    </row>
    <row r="4" spans="1:7" ht="22.5" customHeight="1" x14ac:dyDescent="0.25">
      <c r="A4" s="443" t="s">
        <v>99</v>
      </c>
      <c r="B4" s="444"/>
      <c r="C4" s="444"/>
      <c r="D4" s="444"/>
      <c r="E4" s="444"/>
      <c r="F4" s="445"/>
    </row>
    <row r="5" spans="1:7" x14ac:dyDescent="0.25">
      <c r="A5" s="90" t="s">
        <v>32</v>
      </c>
      <c r="B5" s="96">
        <f>'Calcul prévi'!C501</f>
        <v>0</v>
      </c>
      <c r="C5" s="96">
        <f>'Calcul prévi'!D501</f>
        <v>0</v>
      </c>
      <c r="D5" s="22" t="str">
        <f>IF(B5=0,"",(C5/B5)-1)</f>
        <v/>
      </c>
      <c r="E5" s="96">
        <f>'Calcul prévi'!E501</f>
        <v>0</v>
      </c>
      <c r="F5" s="22" t="str">
        <f>IF(C5=0,"",(E5/C5)-1)</f>
        <v/>
      </c>
    </row>
    <row r="6" spans="1:7" s="9" customFormat="1" ht="12.95" customHeight="1" x14ac:dyDescent="0.25">
      <c r="A6" s="91" t="s">
        <v>103</v>
      </c>
      <c r="B6" s="97">
        <f>'Calcul prévi'!C503</f>
        <v>0</v>
      </c>
      <c r="C6" s="97">
        <f>'Calcul prévi'!D503</f>
        <v>0</v>
      </c>
      <c r="D6" s="22" t="str">
        <f t="shared" ref="D6:D9" si="0">IF(B6=0,"",(C6/B6)-1)</f>
        <v/>
      </c>
      <c r="E6" s="97">
        <f>'Calcul prévi'!E503</f>
        <v>0</v>
      </c>
      <c r="F6" s="22" t="str">
        <f t="shared" ref="F6:F9" si="1">IF(C6=0,"",(E6/C6)-1)</f>
        <v/>
      </c>
    </row>
    <row r="7" spans="1:7" x14ac:dyDescent="0.25">
      <c r="A7" s="90" t="s">
        <v>33</v>
      </c>
      <c r="B7" s="96">
        <f>'Calcul prévi'!C506</f>
        <v>0</v>
      </c>
      <c r="C7" s="96">
        <f>'Calcul prévi'!D506</f>
        <v>0</v>
      </c>
      <c r="D7" s="22" t="str">
        <f t="shared" si="0"/>
        <v/>
      </c>
      <c r="E7" s="96">
        <f>'Calcul prévi'!E506</f>
        <v>0</v>
      </c>
      <c r="F7" s="22" t="str">
        <f t="shared" si="1"/>
        <v/>
      </c>
    </row>
    <row r="8" spans="1:7" s="9" customFormat="1" ht="12.95" customHeight="1" x14ac:dyDescent="0.25">
      <c r="A8" s="92" t="s">
        <v>104</v>
      </c>
      <c r="B8" s="97">
        <f>'Calcul prévi'!C508</f>
        <v>0</v>
      </c>
      <c r="C8" s="97">
        <f>'Calcul prévi'!D508</f>
        <v>0</v>
      </c>
      <c r="D8" s="22" t="str">
        <f t="shared" si="0"/>
        <v/>
      </c>
      <c r="E8" s="97">
        <f>'Calcul prévi'!E508</f>
        <v>0</v>
      </c>
      <c r="F8" s="22" t="str">
        <f t="shared" si="1"/>
        <v/>
      </c>
    </row>
    <row r="9" spans="1:7" x14ac:dyDescent="0.25">
      <c r="A9" s="90" t="s">
        <v>31</v>
      </c>
      <c r="B9" s="96">
        <f>'Calcul prévi'!C511</f>
        <v>0</v>
      </c>
      <c r="C9" s="96">
        <f>'Calcul prévi'!D511</f>
        <v>0</v>
      </c>
      <c r="D9" s="22" t="str">
        <f t="shared" si="0"/>
        <v/>
      </c>
      <c r="E9" s="96">
        <f>'Calcul prévi'!E511</f>
        <v>0</v>
      </c>
      <c r="F9" s="22" t="str">
        <f t="shared" si="1"/>
        <v/>
      </c>
    </row>
    <row r="10" spans="1:7" ht="16.5" customHeight="1" x14ac:dyDescent="0.25">
      <c r="A10" s="89" t="s">
        <v>102</v>
      </c>
      <c r="B10" s="83">
        <f>B5+B7+B9</f>
        <v>0</v>
      </c>
      <c r="C10" s="83">
        <f>C5+C7+C9</f>
        <v>0</v>
      </c>
      <c r="D10" s="124" t="str">
        <f>IF(B10=0,"",(C10/B10)-1)</f>
        <v/>
      </c>
      <c r="E10" s="83">
        <f>E5+E7+E9</f>
        <v>0</v>
      </c>
      <c r="F10" s="124" t="str">
        <f>IF(C10=0,"",(E10/C10)-1)</f>
        <v/>
      </c>
    </row>
    <row r="11" spans="1:7" s="9" customFormat="1" ht="15" customHeight="1" x14ac:dyDescent="0.25">
      <c r="A11" s="88" t="s">
        <v>109</v>
      </c>
      <c r="B11" s="99">
        <f>B8+B6</f>
        <v>0</v>
      </c>
      <c r="C11" s="99">
        <f>C8+C6</f>
        <v>0</v>
      </c>
      <c r="D11" s="189" t="str">
        <f>IF(B11=0,"",(C11/B11)-1)</f>
        <v/>
      </c>
      <c r="E11" s="99">
        <f>E8+E6</f>
        <v>0</v>
      </c>
      <c r="F11" s="189" t="str">
        <f>IF(C11=0,"",(E11/C11)-1)</f>
        <v/>
      </c>
    </row>
    <row r="12" spans="1:7" ht="22.5" customHeight="1" x14ac:dyDescent="0.25">
      <c r="A12" s="443" t="s">
        <v>100</v>
      </c>
      <c r="B12" s="444"/>
      <c r="C12" s="444"/>
      <c r="D12" s="444"/>
      <c r="E12" s="444"/>
      <c r="F12" s="445"/>
    </row>
    <row r="13" spans="1:7" ht="12.95" customHeight="1" x14ac:dyDescent="0.25">
      <c r="A13" s="93" t="s">
        <v>105</v>
      </c>
      <c r="B13" s="96">
        <f>Activité!N33</f>
        <v>0</v>
      </c>
      <c r="C13" s="96">
        <f>Activité!N51</f>
        <v>0</v>
      </c>
      <c r="D13" s="22" t="str">
        <f>IF(B13=0,"",(C13/B13)-1)</f>
        <v/>
      </c>
      <c r="E13" s="96">
        <f>Activité!N69</f>
        <v>0</v>
      </c>
      <c r="F13" s="22" t="str">
        <f>IF(C13=0,"",(E13/C13)-1)</f>
        <v/>
      </c>
    </row>
    <row r="14" spans="1:7" ht="12.95" customHeight="1" x14ac:dyDescent="0.25">
      <c r="A14" s="93" t="s">
        <v>106</v>
      </c>
      <c r="B14" s="96">
        <f>+'Calcul prévi'!P91</f>
        <v>0</v>
      </c>
      <c r="C14" s="96">
        <f>+'Calcul prévi'!P95</f>
        <v>0</v>
      </c>
      <c r="D14" s="22" t="str">
        <f t="shared" ref="D14:D18" si="2">IF(B14=0,"",(C14/B14)-1)</f>
        <v/>
      </c>
      <c r="E14" s="96">
        <f>+'Calcul prévi'!P99</f>
        <v>0</v>
      </c>
      <c r="F14" s="22" t="str">
        <f t="shared" ref="F14:F18" si="3">IF(C14=0,"",(E14/C14)-1)</f>
        <v/>
      </c>
    </row>
    <row r="15" spans="1:7" ht="12.95" customHeight="1" x14ac:dyDescent="0.25">
      <c r="A15" s="93" t="s">
        <v>706</v>
      </c>
      <c r="B15" s="95">
        <f>IF('Calcul prévi'!$P$46&gt;0,0,IF(Caractéristiques!$C$36="Mensuel",-'Calcul prévi'!$P$46,IF(Caractéristiques!$C$36="Trimestriel",-'Calcul prévi'!$P$46,IF(Caractéristiques!$C$36="Annuel",-'Calcul prévi'!$P$46,IF(Caractéristiques!$C$36="Exonéré",0,"erreur")))))</f>
        <v>0</v>
      </c>
      <c r="C15" s="95">
        <f>IF('Calcul prévi'!$P$65&gt;0,0,IF(Caractéristiques!$C$36="Mensuel",-'Calcul prévi'!$P$65,IF(Caractéristiques!$C$36="Trimestriel",-'Calcul prévi'!$P$65,IF(Caractéristiques!$C$36="Annuel",-'Calcul prévi'!$P$65,IF(Caractéristiques!$C$36="Exonéré",0,"erreur")))))+'Calcul prévi'!M574</f>
        <v>0</v>
      </c>
      <c r="D15" s="22" t="str">
        <f t="shared" si="2"/>
        <v/>
      </c>
      <c r="E15" s="95">
        <f>IF('Calcul prévi'!$P$84&gt;0,0,IF(Caractéristiques!$C$36="Mensuel",-'Calcul prévi'!$P$84,IF(Caractéristiques!$C$36="Trimestriel",-'Calcul prévi'!$P$84,IF(Caractéristiques!$C$36="Annuel",-'Calcul prévi'!$P$84,IF(Caractéristiques!$C$36="Exonéré",0,"erreur")))))+'Calcul prévi'!N577</f>
        <v>0</v>
      </c>
      <c r="F15" s="22" t="str">
        <f t="shared" si="3"/>
        <v/>
      </c>
    </row>
    <row r="16" spans="1:7" ht="12.95" customHeight="1" x14ac:dyDescent="0.25">
      <c r="A16" s="93" t="s">
        <v>343</v>
      </c>
      <c r="B16" s="95">
        <f>'Calcul prévi'!P364</f>
        <v>0</v>
      </c>
      <c r="C16" s="95">
        <f>'Calcul prévi'!P386</f>
        <v>0</v>
      </c>
      <c r="D16" s="22" t="str">
        <f t="shared" si="2"/>
        <v/>
      </c>
      <c r="E16" s="95">
        <f>'Calcul prévi'!P408</f>
        <v>0</v>
      </c>
      <c r="F16" s="22" t="str">
        <f t="shared" si="3"/>
        <v/>
      </c>
    </row>
    <row r="17" spans="1:6" ht="12.95" customHeight="1" x14ac:dyDescent="0.25">
      <c r="A17" s="93" t="s">
        <v>107</v>
      </c>
      <c r="B17" s="96">
        <v>0</v>
      </c>
      <c r="C17" s="96">
        <v>0</v>
      </c>
      <c r="D17" s="22" t="str">
        <f t="shared" si="2"/>
        <v/>
      </c>
      <c r="E17" s="96">
        <v>0</v>
      </c>
      <c r="F17" s="22" t="str">
        <f t="shared" si="3"/>
        <v/>
      </c>
    </row>
    <row r="18" spans="1:6" ht="12.75" customHeight="1" x14ac:dyDescent="0.25">
      <c r="A18" s="93" t="s">
        <v>296</v>
      </c>
      <c r="B18" s="96">
        <f>'Trésorerie '!M29</f>
        <v>0</v>
      </c>
      <c r="C18" s="96">
        <f>'Trésorerie '!M57</f>
        <v>0</v>
      </c>
      <c r="D18" s="22" t="str">
        <f t="shared" si="2"/>
        <v/>
      </c>
      <c r="E18" s="96">
        <f>'Trésorerie '!M86</f>
        <v>0</v>
      </c>
      <c r="F18" s="22" t="str">
        <f t="shared" si="3"/>
        <v/>
      </c>
    </row>
    <row r="19" spans="1:6" ht="16.5" customHeight="1" x14ac:dyDescent="0.25">
      <c r="A19" s="87" t="s">
        <v>108</v>
      </c>
      <c r="B19" s="94">
        <f>SUM(B13:B18)</f>
        <v>0</v>
      </c>
      <c r="C19" s="94">
        <f>SUM(C13:C18)</f>
        <v>0</v>
      </c>
      <c r="D19" s="84" t="str">
        <f>IF(B19=0,"",(C19/B19)-1)</f>
        <v/>
      </c>
      <c r="E19" s="94">
        <f>SUM(E13:E18)</f>
        <v>0</v>
      </c>
      <c r="F19" s="84" t="str">
        <f>IF(C19=0,"",(E19/C19)-1)</f>
        <v/>
      </c>
    </row>
    <row r="20" spans="1:6" ht="22.5" customHeight="1" x14ac:dyDescent="0.25">
      <c r="A20" s="102" t="s">
        <v>101</v>
      </c>
      <c r="B20" s="58">
        <f>B10+B19-B11</f>
        <v>0</v>
      </c>
      <c r="C20" s="58">
        <f>C10+C19-C11</f>
        <v>0</v>
      </c>
      <c r="D20" s="103" t="str">
        <f>IF(B20=0,"",(C20/B20)-1)</f>
        <v/>
      </c>
      <c r="E20" s="58">
        <f>E10+E19-E11</f>
        <v>0</v>
      </c>
      <c r="F20" s="103" t="str">
        <f>IF(C20=0,"",(E20/C20)-1)</f>
        <v/>
      </c>
    </row>
    <row r="21" spans="1:6" ht="12.75" customHeight="1" x14ac:dyDescent="0.25"/>
    <row r="22" spans="1:6" ht="12.75" customHeight="1" x14ac:dyDescent="0.25"/>
    <row r="23" spans="1:6" ht="18.75" x14ac:dyDescent="0.25">
      <c r="A23" s="170" t="s">
        <v>302</v>
      </c>
      <c r="B23" s="100" t="s">
        <v>146</v>
      </c>
      <c r="C23" s="100" t="s">
        <v>147</v>
      </c>
      <c r="D23" s="101" t="s">
        <v>51</v>
      </c>
      <c r="E23" s="100" t="s">
        <v>148</v>
      </c>
      <c r="F23" s="101" t="s">
        <v>51</v>
      </c>
    </row>
    <row r="24" spans="1:6" x14ac:dyDescent="0.25">
      <c r="A24" s="443" t="s">
        <v>92</v>
      </c>
      <c r="B24" s="444"/>
      <c r="C24" s="444"/>
      <c r="D24" s="444"/>
      <c r="E24" s="444"/>
      <c r="F24" s="445"/>
    </row>
    <row r="25" spans="1:6" x14ac:dyDescent="0.25">
      <c r="A25" s="33" t="s">
        <v>703</v>
      </c>
      <c r="B25" s="95">
        <f>IF(Caractéristiques!$C$35="IS",Financements!O18,IF(Caractéristiques!$C$35="IR",Financements!O18-Salaires!O21,0))</f>
        <v>0</v>
      </c>
      <c r="C25" s="95">
        <f>IF(Caractéristiques!$C$35="IS",Financements!O18+Financements!O25,IF(Caractéristiques!$C$35="IR",B25+Financements!O25-Salaires!O30+B27,0))</f>
        <v>0</v>
      </c>
      <c r="D25" s="22" t="str">
        <f>IF(B25=0,"",(C25/B25)-1)</f>
        <v/>
      </c>
      <c r="E25" s="95">
        <f>IF(Caractéristiques!$C$35="IS",Financements!O18+Financements!O25+Financements!O32,IF(Caractéristiques!$C$35="IR",C25+Financements!O32-Salaires!O39+C27,0))</f>
        <v>0</v>
      </c>
      <c r="F25" s="22" t="str">
        <f>IF(C25=0,"",(E25/C25)-1)</f>
        <v/>
      </c>
    </row>
    <row r="26" spans="1:6" x14ac:dyDescent="0.25">
      <c r="A26" s="33" t="s">
        <v>303</v>
      </c>
      <c r="B26" s="95">
        <v>0</v>
      </c>
      <c r="C26" s="95">
        <f>IF(Caractéristiques!$C$35="IS",B27,0)</f>
        <v>0</v>
      </c>
      <c r="D26" s="22" t="str">
        <f>IF(B26=0,"",(C26/B26)-1)</f>
        <v/>
      </c>
      <c r="E26" s="95">
        <f>IF(Caractéristiques!$C$35="IS",C27+C26,0)</f>
        <v>0</v>
      </c>
      <c r="F26" s="22" t="str">
        <f>IF(C26=0,"",(E26/C26)-1)</f>
        <v/>
      </c>
    </row>
    <row r="27" spans="1:6" x14ac:dyDescent="0.25">
      <c r="A27" s="85" t="s">
        <v>53</v>
      </c>
      <c r="B27" s="98">
        <f>+'Compte de résultat'!C25</f>
        <v>0</v>
      </c>
      <c r="C27" s="98">
        <f>+'Compte de résultat'!D25</f>
        <v>0</v>
      </c>
      <c r="D27" s="86" t="str">
        <f>IF(B27=0,"",(C27/B27)-1)</f>
        <v/>
      </c>
      <c r="E27" s="98">
        <f>+'Compte de résultat'!F25</f>
        <v>0</v>
      </c>
      <c r="F27" s="86" t="str">
        <f>IF(C27=0,"",(E27/C27)-1)</f>
        <v/>
      </c>
    </row>
    <row r="28" spans="1:6" x14ac:dyDescent="0.25">
      <c r="A28" s="87" t="s">
        <v>93</v>
      </c>
      <c r="B28" s="94">
        <f>SUM(B25:B27)</f>
        <v>0</v>
      </c>
      <c r="C28" s="94">
        <f>SUM(C25:C27)</f>
        <v>0</v>
      </c>
      <c r="D28" s="84" t="str">
        <f>IF(B28=0,"",(C28/B28)-1)</f>
        <v/>
      </c>
      <c r="E28" s="94">
        <f>SUM(E25:E27)</f>
        <v>0</v>
      </c>
      <c r="F28" s="84" t="str">
        <f>IF(C28=0,"",(E28/C28)-1)</f>
        <v/>
      </c>
    </row>
    <row r="29" spans="1:6" x14ac:dyDescent="0.25">
      <c r="A29" s="443" t="s">
        <v>94</v>
      </c>
      <c r="B29" s="444"/>
      <c r="C29" s="444"/>
      <c r="D29" s="444"/>
      <c r="E29" s="444"/>
      <c r="F29" s="445"/>
    </row>
    <row r="30" spans="1:6" x14ac:dyDescent="0.25">
      <c r="A30" s="33" t="s">
        <v>37</v>
      </c>
      <c r="B30" s="95">
        <f>'Calcul prévi'!N341</f>
        <v>0</v>
      </c>
      <c r="C30" s="95">
        <f>'Calcul prévi'!N342</f>
        <v>0</v>
      </c>
      <c r="D30" s="22" t="str">
        <f>IF(B30=0,"",(C30/B30)-1)</f>
        <v/>
      </c>
      <c r="E30" s="95">
        <f>'Calcul prévi'!N343</f>
        <v>0</v>
      </c>
      <c r="F30" s="22" t="str">
        <f>IF(C30=0,"",(E30/C30)-1)</f>
        <v/>
      </c>
    </row>
    <row r="31" spans="1:6" x14ac:dyDescent="0.25">
      <c r="A31" s="33" t="s">
        <v>95</v>
      </c>
      <c r="B31" s="95">
        <f>+Financements!O22</f>
        <v>0</v>
      </c>
      <c r="C31" s="95">
        <f>+Financements!O29</f>
        <v>0</v>
      </c>
      <c r="D31" s="22" t="str">
        <f t="shared" ref="D31:D33" si="4">IF(B31=0,"",(C31/B31)-1)</f>
        <v/>
      </c>
      <c r="E31" s="95">
        <f>+Financements!O36</f>
        <v>0</v>
      </c>
      <c r="F31" s="22" t="str">
        <f t="shared" ref="F31:F33" si="5">IF(C31=0,"",(E31/C31)-1)</f>
        <v/>
      </c>
    </row>
    <row r="32" spans="1:6" x14ac:dyDescent="0.25">
      <c r="A32" s="33" t="s">
        <v>294</v>
      </c>
      <c r="B32" s="95">
        <f>'Calcul prévi'!U520</f>
        <v>0</v>
      </c>
      <c r="C32" s="95">
        <f>'Calcul prévi'!U524</f>
        <v>0</v>
      </c>
      <c r="D32" s="22" t="str">
        <f t="shared" si="4"/>
        <v/>
      </c>
      <c r="E32" s="95">
        <f>'Calcul prévi'!U528</f>
        <v>0</v>
      </c>
      <c r="F32" s="22" t="str">
        <f t="shared" si="5"/>
        <v/>
      </c>
    </row>
    <row r="33" spans="1:6" x14ac:dyDescent="0.25">
      <c r="A33" s="33" t="s">
        <v>243</v>
      </c>
      <c r="B33" s="95">
        <f>'Calcul prévi'!P105</f>
        <v>0</v>
      </c>
      <c r="C33" s="95">
        <f>'Calcul prévi'!P109</f>
        <v>0</v>
      </c>
      <c r="D33" s="22" t="str">
        <f t="shared" si="4"/>
        <v/>
      </c>
      <c r="E33" s="95">
        <f>'Calcul prévi'!P113</f>
        <v>0</v>
      </c>
      <c r="F33" s="22" t="str">
        <f t="shared" si="5"/>
        <v/>
      </c>
    </row>
    <row r="34" spans="1:6" x14ac:dyDescent="0.25">
      <c r="A34" s="33" t="s">
        <v>244</v>
      </c>
      <c r="B34" s="95">
        <f>'Calcul prévi'!P199</f>
        <v>0</v>
      </c>
      <c r="C34" s="95">
        <f>'Calcul prévi'!P212</f>
        <v>0</v>
      </c>
      <c r="D34" s="22" t="str">
        <f t="shared" ref="D34:D38" si="6">IF(B34=0,"",(C34/B34)-1)</f>
        <v/>
      </c>
      <c r="E34" s="95">
        <f>'Calcul prévi'!P225</f>
        <v>0</v>
      </c>
      <c r="F34" s="22" t="str">
        <f t="shared" ref="F34:F38" si="7">IF(C34=0,"",(E34/C34)-1)</f>
        <v/>
      </c>
    </row>
    <row r="35" spans="1:6" x14ac:dyDescent="0.25">
      <c r="A35" s="33" t="s">
        <v>705</v>
      </c>
      <c r="B35" s="95">
        <f>IF('Calcul prévi'!$P$46&lt;0,0,IF(Caractéristiques!$C$36="Mensuel",'Calcul prévi'!$P$46,IF(Caractéristiques!$C$36="Trimestriel",'Calcul prévi'!$P$46,IF(Caractéristiques!$C$36="Annuel",'Calcul prévi'!$P$46,IF(Caractéristiques!$C$36="Exonéré",0,"erreur")))))+'Calcul prévi'!H571</f>
        <v>0</v>
      </c>
      <c r="C35" s="95">
        <f>IF('Calcul prévi'!$P$65&lt;0,0,IF(Caractéristiques!$C$36="Mensuel",'Calcul prévi'!$P$65,IF(Caractéristiques!$C$36="Trimestriel",'Calcul prévi'!$P$65,IF(Caractéristiques!$C$36="Annuel",'Calcul prévi'!$P$65,IF(Caractéristiques!$C$36="Exonéré",0,"erreur")))))+'Calcul prévi'!L574</f>
        <v>0</v>
      </c>
      <c r="D35" s="22" t="str">
        <f t="shared" si="6"/>
        <v/>
      </c>
      <c r="E35" s="95">
        <f>IF('Calcul prévi'!$P$84&lt;0,0,IF(Caractéristiques!$C$36="Mensuel",'Calcul prévi'!$P$84,IF(Caractéristiques!$C$36="Trimestriel",'Calcul prévi'!$P$84,IF(Caractéristiques!$C$36="Annuel",'Calcul prévi'!$P$84,IF(Caractéristiques!$C$36="Exonéré",0,"erreur")))))+'Calcul prévi'!M577</f>
        <v>0</v>
      </c>
      <c r="F35" s="22" t="str">
        <f t="shared" si="7"/>
        <v/>
      </c>
    </row>
    <row r="36" spans="1:6" x14ac:dyDescent="0.25">
      <c r="A36" s="33" t="s">
        <v>341</v>
      </c>
      <c r="B36" s="95">
        <f>'Calcul prévi'!P363+'Calcul prévi'!P370</f>
        <v>0</v>
      </c>
      <c r="C36" s="95">
        <f>'Calcul prévi'!P385+'Calcul prévi'!P392</f>
        <v>0</v>
      </c>
      <c r="D36" s="22" t="str">
        <f t="shared" si="6"/>
        <v/>
      </c>
      <c r="E36" s="95">
        <f>'Calcul prévi'!P407+'Calcul prévi'!P414</f>
        <v>0</v>
      </c>
      <c r="F36" s="22" t="str">
        <f t="shared" si="7"/>
        <v/>
      </c>
    </row>
    <row r="37" spans="1:6" x14ac:dyDescent="0.25">
      <c r="A37" s="33" t="s">
        <v>342</v>
      </c>
      <c r="B37" s="95">
        <f>'Calcul prévi'!P427</f>
        <v>0</v>
      </c>
      <c r="C37" s="95">
        <f>'Calcul prévi'!P437</f>
        <v>0</v>
      </c>
      <c r="D37" s="22" t="str">
        <f t="shared" si="6"/>
        <v/>
      </c>
      <c r="E37" s="95">
        <f>'Calcul prévi'!P447</f>
        <v>0</v>
      </c>
      <c r="F37" s="22" t="str">
        <f t="shared" si="7"/>
        <v/>
      </c>
    </row>
    <row r="38" spans="1:6" x14ac:dyDescent="0.25">
      <c r="A38" s="33" t="s">
        <v>96</v>
      </c>
      <c r="B38" s="95">
        <v>0</v>
      </c>
      <c r="C38" s="95">
        <v>0</v>
      </c>
      <c r="D38" s="22" t="str">
        <f t="shared" si="6"/>
        <v/>
      </c>
      <c r="E38" s="95">
        <v>0</v>
      </c>
      <c r="F38" s="22" t="str">
        <f t="shared" si="7"/>
        <v/>
      </c>
    </row>
    <row r="39" spans="1:6" x14ac:dyDescent="0.25">
      <c r="A39" s="87" t="s">
        <v>97</v>
      </c>
      <c r="B39" s="94">
        <f>SUM(B30:B38)</f>
        <v>0</v>
      </c>
      <c r="C39" s="94">
        <f>SUM(C30:C38)</f>
        <v>0</v>
      </c>
      <c r="D39" s="84" t="str">
        <f>IF(B39=0,"",(C39/B39)-1)</f>
        <v/>
      </c>
      <c r="E39" s="94">
        <f>SUM(E30:E38)</f>
        <v>0</v>
      </c>
      <c r="F39" s="84" t="str">
        <f>IF(C39=0,"",(E39/C39)-1)</f>
        <v/>
      </c>
    </row>
    <row r="40" spans="1:6" ht="15.75" x14ac:dyDescent="0.25">
      <c r="A40" s="102" t="s">
        <v>98</v>
      </c>
      <c r="B40" s="58">
        <f>B28+B39</f>
        <v>0</v>
      </c>
      <c r="C40" s="58">
        <f>C28+C39</f>
        <v>0</v>
      </c>
      <c r="D40" s="103" t="str">
        <f>IF(B40=0,"",(C40/B40)-1)</f>
        <v/>
      </c>
      <c r="E40" s="58">
        <f>E28+E39</f>
        <v>0</v>
      </c>
      <c r="F40" s="103" t="str">
        <f>IF(C40=0,"",(E40/C40)-1)</f>
        <v/>
      </c>
    </row>
  </sheetData>
  <sheetProtection algorithmName="SHA-512" hashValue="8HLq1A1TTPJlQWprVsSAXf7c831uAUXSFrIMZhL/60ui5BU3gSDmm1KHN5gRm/jnKdNf1QPmsOYbDY8CCnf0AQ==" saltValue="egEk9SvPXqr6SjTZ+XtlUQ==" spinCount="100000" sheet="1" objects="1" scenarios="1"/>
  <mergeCells count="5">
    <mergeCell ref="A12:F12"/>
    <mergeCell ref="A4:F4"/>
    <mergeCell ref="A24:F24"/>
    <mergeCell ref="A29:F29"/>
    <mergeCell ref="A1:F1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B1:F16"/>
  <sheetViews>
    <sheetView showGridLines="0" zoomScaleNormal="100" workbookViewId="0">
      <selection activeCell="E18" sqref="E18"/>
    </sheetView>
  </sheetViews>
  <sheetFormatPr baseColWidth="10" defaultRowHeight="15" x14ac:dyDescent="0.25"/>
  <cols>
    <col min="1" max="1" width="4.42578125" customWidth="1"/>
    <col min="2" max="2" width="35.7109375" customWidth="1"/>
    <col min="3" max="3" width="15.7109375" customWidth="1"/>
    <col min="4" max="4" width="35.7109375" customWidth="1"/>
    <col min="5" max="5" width="15.7109375" customWidth="1"/>
  </cols>
  <sheetData>
    <row r="1" spans="2:6" ht="26.25" x14ac:dyDescent="0.4">
      <c r="B1" s="425" t="s">
        <v>686</v>
      </c>
      <c r="C1" s="425"/>
      <c r="D1" s="425"/>
      <c r="E1" s="425"/>
      <c r="F1" s="358"/>
    </row>
    <row r="2" spans="2:6" ht="11.25" customHeight="1" x14ac:dyDescent="0.25"/>
    <row r="3" spans="2:6" ht="15.75" x14ac:dyDescent="0.25">
      <c r="B3" s="288" t="s">
        <v>696</v>
      </c>
    </row>
    <row r="4" spans="2:6" ht="11.25" customHeight="1" x14ac:dyDescent="0.25"/>
    <row r="5" spans="2:6" ht="24" customHeight="1" x14ac:dyDescent="0.25">
      <c r="B5" s="446" t="s">
        <v>687</v>
      </c>
      <c r="C5" s="447"/>
      <c r="D5" s="446" t="s">
        <v>688</v>
      </c>
      <c r="E5" s="447"/>
    </row>
    <row r="6" spans="2:6" ht="22.5" customHeight="1" x14ac:dyDescent="0.25">
      <c r="B6" s="443" t="s">
        <v>689</v>
      </c>
      <c r="C6" s="445"/>
      <c r="D6" s="443" t="s">
        <v>690</v>
      </c>
      <c r="E6" s="445"/>
    </row>
    <row r="7" spans="2:6" x14ac:dyDescent="0.25">
      <c r="B7" s="90" t="s">
        <v>32</v>
      </c>
      <c r="C7" s="96">
        <f>SUMIFS('Calcul prévi'!C455:C464,'Calcul prévi'!D455:D464,"Année 1",'Calcul prévi'!E455:E464,"Mois 1")</f>
        <v>0</v>
      </c>
      <c r="D7" s="359" t="s">
        <v>707</v>
      </c>
      <c r="E7" s="96">
        <f>Financements!C18</f>
        <v>0</v>
      </c>
    </row>
    <row r="8" spans="2:6" x14ac:dyDescent="0.25">
      <c r="B8" s="90" t="s">
        <v>33</v>
      </c>
      <c r="C8" s="96">
        <f>SUMIFS('Calcul prévi'!C467:C487,'Calcul prévi'!D467:D487,"Année 1",'Calcul prévi'!E467:E487,"Mois 1")</f>
        <v>0</v>
      </c>
      <c r="D8" s="359" t="s">
        <v>691</v>
      </c>
      <c r="E8" s="96">
        <f>Financements!C19-Financements!C21</f>
        <v>0</v>
      </c>
    </row>
    <row r="9" spans="2:6" x14ac:dyDescent="0.25">
      <c r="B9" s="90" t="s">
        <v>31</v>
      </c>
      <c r="C9" s="96">
        <f>SUMIFS('Calcul prévi'!C490:C494,'Calcul prévi'!D490:D494,"Année 1",'Calcul prévi'!E490:E494,"Mois 1")</f>
        <v>0</v>
      </c>
      <c r="D9" s="359"/>
      <c r="E9" s="96"/>
    </row>
    <row r="10" spans="2:6" x14ac:dyDescent="0.25">
      <c r="B10" s="90"/>
      <c r="C10" s="96"/>
      <c r="D10" s="443" t="s">
        <v>692</v>
      </c>
      <c r="E10" s="445"/>
    </row>
    <row r="11" spans="2:6" x14ac:dyDescent="0.25">
      <c r="B11" s="90" t="s">
        <v>472</v>
      </c>
      <c r="C11" s="96">
        <v>0</v>
      </c>
      <c r="D11" s="359" t="s">
        <v>693</v>
      </c>
      <c r="E11" s="96">
        <f>SUMIFS(Financements!C42:C44,Financements!D42:D44,"Année 1",Financements!E42:E44,"Mois 1")</f>
        <v>0</v>
      </c>
    </row>
    <row r="12" spans="2:6" x14ac:dyDescent="0.25">
      <c r="B12" s="90" t="s">
        <v>697</v>
      </c>
      <c r="C12" s="96" t="e">
        <f>IF(SUM(C7:C9)&gt;E14,E14-SUM(C7:C9),IF(SUM(C7:C9&lt;E14),E14-SUM(C7:C9),0))</f>
        <v>#VALUE!</v>
      </c>
      <c r="D12" s="359"/>
      <c r="E12" s="96"/>
    </row>
    <row r="13" spans="2:6" x14ac:dyDescent="0.25">
      <c r="B13" s="90"/>
      <c r="C13" s="96"/>
      <c r="D13" s="359"/>
      <c r="E13" s="96"/>
    </row>
    <row r="14" spans="2:6" ht="22.5" customHeight="1" x14ac:dyDescent="0.25">
      <c r="B14" s="102" t="s">
        <v>694</v>
      </c>
      <c r="C14" s="58" t="e">
        <f>SUM(C7:C13)</f>
        <v>#VALUE!</v>
      </c>
      <c r="D14" s="360" t="s">
        <v>695</v>
      </c>
      <c r="E14" s="58">
        <f>SUM(E7:E9)+SUM(E11:E13)</f>
        <v>0</v>
      </c>
    </row>
    <row r="15" spans="2:6" ht="12.75" customHeight="1" x14ac:dyDescent="0.25"/>
    <row r="16" spans="2:6" ht="12.75" customHeight="1" x14ac:dyDescent="0.25"/>
  </sheetData>
  <sheetProtection algorithmName="SHA-512" hashValue="7a7MF3OX4ies3+t48CTS1s2f/kLhqoAWixZwGDOfG2Sn0MN0SosuuPeX7KopbfPPQjZ6hKShSiuxlwN6O+yTpg==" saltValue="AVV+d8ZvdtSbQ4Z9SVd4eg==" spinCount="100000" sheet="1" objects="1" scenarios="1"/>
  <mergeCells count="6">
    <mergeCell ref="B6:C6"/>
    <mergeCell ref="D6:E6"/>
    <mergeCell ref="D10:E10"/>
    <mergeCell ref="B1:E1"/>
    <mergeCell ref="B5:C5"/>
    <mergeCell ref="D5:E5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N86"/>
  <sheetViews>
    <sheetView showGridLines="0" topLeftCell="A46" workbookViewId="0">
      <selection activeCell="Q54" sqref="Q54"/>
    </sheetView>
  </sheetViews>
  <sheetFormatPr baseColWidth="10" defaultRowHeight="15" x14ac:dyDescent="0.25"/>
  <cols>
    <col min="1" max="1" width="30.42578125" bestFit="1" customWidth="1"/>
    <col min="2" max="13" width="12.7109375" customWidth="1"/>
    <col min="14" max="14" width="13.140625" customWidth="1"/>
  </cols>
  <sheetData>
    <row r="1" spans="1:14" ht="26.25" x14ac:dyDescent="0.4">
      <c r="A1" s="425" t="s">
        <v>290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15" customHeight="1" x14ac:dyDescent="0.3">
      <c r="A2" s="6"/>
    </row>
    <row r="3" spans="1:14" ht="15" customHeight="1" x14ac:dyDescent="0.25"/>
    <row r="4" spans="1:14" ht="18.75" x14ac:dyDescent="0.3">
      <c r="A4" s="157" t="s">
        <v>146</v>
      </c>
      <c r="B4" s="100" t="s">
        <v>149</v>
      </c>
      <c r="C4" s="100" t="s">
        <v>150</v>
      </c>
      <c r="D4" s="100" t="s">
        <v>151</v>
      </c>
      <c r="E4" s="100" t="s">
        <v>152</v>
      </c>
      <c r="F4" s="100" t="s">
        <v>153</v>
      </c>
      <c r="G4" s="100" t="s">
        <v>154</v>
      </c>
      <c r="H4" s="100" t="s">
        <v>155</v>
      </c>
      <c r="I4" s="100" t="s">
        <v>156</v>
      </c>
      <c r="J4" s="100" t="s">
        <v>157</v>
      </c>
      <c r="K4" s="100" t="s">
        <v>158</v>
      </c>
      <c r="L4" s="100" t="s">
        <v>159</v>
      </c>
      <c r="M4" s="100" t="s">
        <v>160</v>
      </c>
      <c r="N4" s="3"/>
    </row>
    <row r="5" spans="1:14" x14ac:dyDescent="0.25">
      <c r="A5" s="150" t="s">
        <v>34</v>
      </c>
      <c r="B5" s="448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50"/>
      <c r="N5" s="152" t="s">
        <v>20</v>
      </c>
    </row>
    <row r="6" spans="1:14" x14ac:dyDescent="0.25">
      <c r="A6" s="155" t="s">
        <v>35</v>
      </c>
      <c r="B6" s="158">
        <f>'Calcul prévi'!C91</f>
        <v>0</v>
      </c>
      <c r="C6" s="158">
        <f>'Calcul prévi'!D91</f>
        <v>0</v>
      </c>
      <c r="D6" s="158">
        <f>'Calcul prévi'!E91</f>
        <v>0</v>
      </c>
      <c r="E6" s="158">
        <f>'Calcul prévi'!F91</f>
        <v>0</v>
      </c>
      <c r="F6" s="158">
        <f>'Calcul prévi'!G91</f>
        <v>0</v>
      </c>
      <c r="G6" s="158">
        <f>'Calcul prévi'!H91</f>
        <v>0</v>
      </c>
      <c r="H6" s="158">
        <f>'Calcul prévi'!I91</f>
        <v>0</v>
      </c>
      <c r="I6" s="158">
        <f>'Calcul prévi'!J91</f>
        <v>0</v>
      </c>
      <c r="J6" s="158">
        <f>'Calcul prévi'!K91</f>
        <v>0</v>
      </c>
      <c r="K6" s="158">
        <f>'Calcul prévi'!L91</f>
        <v>0</v>
      </c>
      <c r="L6" s="158">
        <f>'Calcul prévi'!M91</f>
        <v>0</v>
      </c>
      <c r="M6" s="158">
        <f>'Calcul prévi'!N91</f>
        <v>0</v>
      </c>
      <c r="N6" s="163">
        <f>SUM(B6:M6)</f>
        <v>0</v>
      </c>
    </row>
    <row r="7" spans="1:14" x14ac:dyDescent="0.25">
      <c r="A7" s="155" t="s">
        <v>36</v>
      </c>
      <c r="B7" s="158">
        <f>Financements!C18</f>
        <v>0</v>
      </c>
      <c r="C7" s="158">
        <f>Financements!D18</f>
        <v>0</v>
      </c>
      <c r="D7" s="158">
        <f>Financements!E18</f>
        <v>0</v>
      </c>
      <c r="E7" s="158">
        <f>Financements!F18</f>
        <v>0</v>
      </c>
      <c r="F7" s="158">
        <f>Financements!G18</f>
        <v>0</v>
      </c>
      <c r="G7" s="158">
        <f>Financements!H18</f>
        <v>0</v>
      </c>
      <c r="H7" s="158">
        <f>Financements!I18</f>
        <v>0</v>
      </c>
      <c r="I7" s="158">
        <f>Financements!J18</f>
        <v>0</v>
      </c>
      <c r="J7" s="158">
        <f>Financements!K18</f>
        <v>0</v>
      </c>
      <c r="K7" s="158">
        <f>Financements!L18</f>
        <v>0</v>
      </c>
      <c r="L7" s="158">
        <f>Financements!M18</f>
        <v>0</v>
      </c>
      <c r="M7" s="158">
        <f>Financements!N18</f>
        <v>0</v>
      </c>
      <c r="N7" s="163">
        <f t="shared" ref="N7:N27" si="0">SUM(B7:M7)</f>
        <v>0</v>
      </c>
    </row>
    <row r="8" spans="1:14" x14ac:dyDescent="0.25">
      <c r="A8" s="155" t="s">
        <v>38</v>
      </c>
      <c r="B8" s="158">
        <f>Financements!C19</f>
        <v>0</v>
      </c>
      <c r="C8" s="158">
        <f>Financements!D19</f>
        <v>0</v>
      </c>
      <c r="D8" s="158">
        <f>Financements!E19</f>
        <v>0</v>
      </c>
      <c r="E8" s="158">
        <f>Financements!F19</f>
        <v>0</v>
      </c>
      <c r="F8" s="158">
        <f>Financements!G19</f>
        <v>0</v>
      </c>
      <c r="G8" s="158">
        <f>Financements!H19</f>
        <v>0</v>
      </c>
      <c r="H8" s="158">
        <f>Financements!I19</f>
        <v>0</v>
      </c>
      <c r="I8" s="158">
        <f>Financements!J19</f>
        <v>0</v>
      </c>
      <c r="J8" s="158">
        <f>Financements!K19</f>
        <v>0</v>
      </c>
      <c r="K8" s="158">
        <f>Financements!L19</f>
        <v>0</v>
      </c>
      <c r="L8" s="158">
        <f>Financements!M19</f>
        <v>0</v>
      </c>
      <c r="M8" s="158">
        <f>Financements!N19</f>
        <v>0</v>
      </c>
      <c r="N8" s="163">
        <f t="shared" si="0"/>
        <v>0</v>
      </c>
    </row>
    <row r="9" spans="1:14" x14ac:dyDescent="0.25">
      <c r="A9" s="155" t="s">
        <v>295</v>
      </c>
      <c r="B9" s="158">
        <f>'Calcul prévi'!D232+'Calcul prévi'!D271+'Calcul prévi'!D310</f>
        <v>0</v>
      </c>
      <c r="C9" s="158">
        <f>'Calcul prévi'!D233+'Calcul prévi'!D272+'Calcul prévi'!D311</f>
        <v>0</v>
      </c>
      <c r="D9" s="158">
        <f>'Calcul prévi'!D312+'Calcul prévi'!D273+'Calcul prévi'!D234</f>
        <v>0</v>
      </c>
      <c r="E9" s="158">
        <f>'Calcul prévi'!D235+'Calcul prévi'!D274+'Calcul prévi'!D313</f>
        <v>0</v>
      </c>
      <c r="F9" s="158">
        <f>'Calcul prévi'!D314+'Calcul prévi'!D275+'Calcul prévi'!D236</f>
        <v>0</v>
      </c>
      <c r="G9" s="158">
        <f>'Calcul prévi'!D237+'Calcul prévi'!D276+'Calcul prévi'!D315</f>
        <v>0</v>
      </c>
      <c r="H9" s="158">
        <f>'Calcul prévi'!D316+'Calcul prévi'!D277+'Calcul prévi'!D238</f>
        <v>0</v>
      </c>
      <c r="I9" s="158">
        <f>'Calcul prévi'!D239+'Calcul prévi'!D278+'Calcul prévi'!D317</f>
        <v>0</v>
      </c>
      <c r="J9" s="158">
        <f>'Calcul prévi'!D318+'Calcul prévi'!D279+'Calcul prévi'!D240</f>
        <v>0</v>
      </c>
      <c r="K9" s="158">
        <f>'Calcul prévi'!D241+'Calcul prévi'!D280+'Calcul prévi'!D319</f>
        <v>0</v>
      </c>
      <c r="L9" s="158">
        <f>'Calcul prévi'!D320+'Calcul prévi'!D281+'Calcul prévi'!D242</f>
        <v>0</v>
      </c>
      <c r="M9" s="158">
        <f>'Calcul prévi'!D243+'Calcul prévi'!D282+'Calcul prévi'!D321</f>
        <v>0</v>
      </c>
      <c r="N9" s="163">
        <f>SUM(B9:M9)</f>
        <v>0</v>
      </c>
    </row>
    <row r="10" spans="1:14" x14ac:dyDescent="0.25">
      <c r="A10" s="155" t="s">
        <v>306</v>
      </c>
      <c r="B10" s="158">
        <f>IF('Calcul prévi'!C45&lt;0,-'Calcul prévi'!C45,0)</f>
        <v>0</v>
      </c>
      <c r="C10" s="158">
        <f>IF('Calcul prévi'!D45&lt;0,-'Calcul prévi'!D45,0)</f>
        <v>0</v>
      </c>
      <c r="D10" s="158">
        <f>IF('Calcul prévi'!E45&lt;0,-'Calcul prévi'!E45,0)</f>
        <v>0</v>
      </c>
      <c r="E10" s="158">
        <f>IF('Calcul prévi'!F45&lt;0,-'Calcul prévi'!F45,0)</f>
        <v>0</v>
      </c>
      <c r="F10" s="158">
        <f>IF('Calcul prévi'!G45&lt;0,-'Calcul prévi'!G45,0)</f>
        <v>0</v>
      </c>
      <c r="G10" s="158">
        <f>IF('Calcul prévi'!H45&lt;0,-'Calcul prévi'!H45,0)</f>
        <v>0</v>
      </c>
      <c r="H10" s="158">
        <f>IF('Calcul prévi'!I45&lt;0,-'Calcul prévi'!I45,0)</f>
        <v>0</v>
      </c>
      <c r="I10" s="158">
        <f>IF('Calcul prévi'!J45&lt;0,-'Calcul prévi'!J45,0)</f>
        <v>0</v>
      </c>
      <c r="J10" s="158">
        <f>IF('Calcul prévi'!K45&lt;0,-'Calcul prévi'!K45,0)</f>
        <v>0</v>
      </c>
      <c r="K10" s="158">
        <f>IF('Calcul prévi'!L45&lt;0,-'Calcul prévi'!L45,0)</f>
        <v>0</v>
      </c>
      <c r="L10" s="158">
        <f>IF('Calcul prévi'!M45&lt;0,-'Calcul prévi'!M45,0)</f>
        <v>0</v>
      </c>
      <c r="M10" s="158">
        <f>IF('Calcul prévi'!N45&lt;0,-'Calcul prévi'!N45,0)</f>
        <v>0</v>
      </c>
      <c r="N10" s="163">
        <f>SUM(B10:M10)</f>
        <v>0</v>
      </c>
    </row>
    <row r="11" spans="1:14" x14ac:dyDescent="0.25">
      <c r="A11" s="155" t="s">
        <v>454</v>
      </c>
      <c r="B11" s="158">
        <f>'Calcul prévi'!C613</f>
        <v>0</v>
      </c>
      <c r="C11" s="158">
        <f>'Calcul prévi'!D613</f>
        <v>0</v>
      </c>
      <c r="D11" s="158">
        <f>'Calcul prévi'!E613</f>
        <v>0</v>
      </c>
      <c r="E11" s="158">
        <f>'Calcul prévi'!F613</f>
        <v>0</v>
      </c>
      <c r="F11" s="158">
        <f>'Calcul prévi'!G613</f>
        <v>0</v>
      </c>
      <c r="G11" s="158">
        <f>'Calcul prévi'!H613</f>
        <v>0</v>
      </c>
      <c r="H11" s="158">
        <f>'Calcul prévi'!I613</f>
        <v>0</v>
      </c>
      <c r="I11" s="158">
        <f>'Calcul prévi'!J613</f>
        <v>0</v>
      </c>
      <c r="J11" s="158">
        <f>'Calcul prévi'!K613</f>
        <v>0</v>
      </c>
      <c r="K11" s="158">
        <f>'Calcul prévi'!L613</f>
        <v>0</v>
      </c>
      <c r="L11" s="158">
        <f>'Calcul prévi'!M613</f>
        <v>0</v>
      </c>
      <c r="M11" s="158">
        <f>'Calcul prévi'!N613</f>
        <v>0</v>
      </c>
      <c r="N11" s="163">
        <f t="shared" si="0"/>
        <v>0</v>
      </c>
    </row>
    <row r="12" spans="1:14" s="5" customFormat="1" ht="18.75" customHeight="1" x14ac:dyDescent="0.2">
      <c r="A12" s="153" t="s">
        <v>39</v>
      </c>
      <c r="B12" s="159">
        <f t="shared" ref="B12:M12" si="1">SUM(B6:B11)</f>
        <v>0</v>
      </c>
      <c r="C12" s="159">
        <f t="shared" si="1"/>
        <v>0</v>
      </c>
      <c r="D12" s="159">
        <f t="shared" si="1"/>
        <v>0</v>
      </c>
      <c r="E12" s="159">
        <f t="shared" si="1"/>
        <v>0</v>
      </c>
      <c r="F12" s="159">
        <f t="shared" si="1"/>
        <v>0</v>
      </c>
      <c r="G12" s="159">
        <f t="shared" si="1"/>
        <v>0</v>
      </c>
      <c r="H12" s="159">
        <f t="shared" si="1"/>
        <v>0</v>
      </c>
      <c r="I12" s="159">
        <f t="shared" si="1"/>
        <v>0</v>
      </c>
      <c r="J12" s="159">
        <f t="shared" si="1"/>
        <v>0</v>
      </c>
      <c r="K12" s="159">
        <f t="shared" si="1"/>
        <v>0</v>
      </c>
      <c r="L12" s="159">
        <f t="shared" si="1"/>
        <v>0</v>
      </c>
      <c r="M12" s="159">
        <f t="shared" si="1"/>
        <v>0</v>
      </c>
      <c r="N12" s="163">
        <f t="shared" si="0"/>
        <v>0</v>
      </c>
    </row>
    <row r="13" spans="1:14" x14ac:dyDescent="0.25">
      <c r="A13" s="154" t="s">
        <v>291</v>
      </c>
      <c r="B13" s="448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50"/>
      <c r="N13" s="152" t="s">
        <v>20</v>
      </c>
    </row>
    <row r="14" spans="1:14" x14ac:dyDescent="0.25">
      <c r="A14" s="156" t="s">
        <v>294</v>
      </c>
      <c r="B14" s="158">
        <f>'Calcul prévi'!H520</f>
        <v>0</v>
      </c>
      <c r="C14" s="158">
        <f>'Calcul prévi'!I520</f>
        <v>0</v>
      </c>
      <c r="D14" s="158">
        <f>'Calcul prévi'!J520</f>
        <v>0</v>
      </c>
      <c r="E14" s="158">
        <f>'Calcul prévi'!K520</f>
        <v>0</v>
      </c>
      <c r="F14" s="158">
        <f>'Calcul prévi'!L520</f>
        <v>0</v>
      </c>
      <c r="G14" s="158">
        <f>'Calcul prévi'!M520</f>
        <v>0</v>
      </c>
      <c r="H14" s="158">
        <f>'Calcul prévi'!N520</f>
        <v>0</v>
      </c>
      <c r="I14" s="158">
        <f>'Calcul prévi'!O520</f>
        <v>0</v>
      </c>
      <c r="J14" s="158">
        <f>'Calcul prévi'!P520</f>
        <v>0</v>
      </c>
      <c r="K14" s="158">
        <f>'Calcul prévi'!Q520</f>
        <v>0</v>
      </c>
      <c r="L14" s="158">
        <f>'Calcul prévi'!R520</f>
        <v>0</v>
      </c>
      <c r="M14" s="158">
        <f>'Calcul prévi'!S520</f>
        <v>0</v>
      </c>
      <c r="N14" s="163">
        <f t="shared" si="0"/>
        <v>0</v>
      </c>
    </row>
    <row r="15" spans="1:14" x14ac:dyDescent="0.25">
      <c r="A15" s="156" t="s">
        <v>231</v>
      </c>
      <c r="B15" s="158">
        <f>'Calcul prévi'!C105</f>
        <v>0</v>
      </c>
      <c r="C15" s="158">
        <f>'Calcul prévi'!D105</f>
        <v>0</v>
      </c>
      <c r="D15" s="158">
        <f>'Calcul prévi'!E105</f>
        <v>0</v>
      </c>
      <c r="E15" s="158">
        <f>'Calcul prévi'!F105</f>
        <v>0</v>
      </c>
      <c r="F15" s="158">
        <f>'Calcul prévi'!G105</f>
        <v>0</v>
      </c>
      <c r="G15" s="158">
        <f>'Calcul prévi'!H105</f>
        <v>0</v>
      </c>
      <c r="H15" s="158">
        <f>'Calcul prévi'!I105</f>
        <v>0</v>
      </c>
      <c r="I15" s="158">
        <f>'Calcul prévi'!J105</f>
        <v>0</v>
      </c>
      <c r="J15" s="158">
        <f>'Calcul prévi'!K105</f>
        <v>0</v>
      </c>
      <c r="K15" s="158">
        <f>'Calcul prévi'!L105</f>
        <v>0</v>
      </c>
      <c r="L15" s="158">
        <f>'Calcul prévi'!M105</f>
        <v>0</v>
      </c>
      <c r="M15" s="158">
        <f>'Calcul prévi'!N105</f>
        <v>0</v>
      </c>
      <c r="N15" s="163">
        <f t="shared" si="0"/>
        <v>0</v>
      </c>
    </row>
    <row r="16" spans="1:14" x14ac:dyDescent="0.25">
      <c r="A16" s="156" t="s">
        <v>244</v>
      </c>
      <c r="B16" s="158">
        <f>'Calcul prévi'!C198</f>
        <v>0</v>
      </c>
      <c r="C16" s="158">
        <f>'Calcul prévi'!D198</f>
        <v>0</v>
      </c>
      <c r="D16" s="158">
        <f>'Calcul prévi'!E198</f>
        <v>0</v>
      </c>
      <c r="E16" s="158">
        <f>'Calcul prévi'!F198</f>
        <v>0</v>
      </c>
      <c r="F16" s="158">
        <f>'Calcul prévi'!G198</f>
        <v>0</v>
      </c>
      <c r="G16" s="158">
        <f>'Calcul prévi'!H198</f>
        <v>0</v>
      </c>
      <c r="H16" s="158">
        <f>'Calcul prévi'!I198</f>
        <v>0</v>
      </c>
      <c r="I16" s="158">
        <f>'Calcul prévi'!J198</f>
        <v>0</v>
      </c>
      <c r="J16" s="158">
        <f>'Calcul prévi'!K198</f>
        <v>0</v>
      </c>
      <c r="K16" s="158">
        <f>'Calcul prévi'!L198</f>
        <v>0</v>
      </c>
      <c r="L16" s="158">
        <f>'Calcul prévi'!M198</f>
        <v>0</v>
      </c>
      <c r="M16" s="158">
        <f>'Calcul prévi'!N198</f>
        <v>0</v>
      </c>
      <c r="N16" s="163">
        <f t="shared" si="0"/>
        <v>0</v>
      </c>
    </row>
    <row r="17" spans="1:14" x14ac:dyDescent="0.25">
      <c r="A17" s="156" t="s">
        <v>351</v>
      </c>
      <c r="B17" s="158">
        <f>Salaires!C21</f>
        <v>0</v>
      </c>
      <c r="C17" s="158">
        <f>Salaires!D21</f>
        <v>0</v>
      </c>
      <c r="D17" s="158">
        <f>Salaires!E21</f>
        <v>0</v>
      </c>
      <c r="E17" s="158">
        <f>Salaires!F21</f>
        <v>0</v>
      </c>
      <c r="F17" s="158">
        <f>Salaires!G21</f>
        <v>0</v>
      </c>
      <c r="G17" s="158">
        <f>Salaires!H21</f>
        <v>0</v>
      </c>
      <c r="H17" s="158">
        <f>Salaires!I21</f>
        <v>0</v>
      </c>
      <c r="I17" s="158">
        <f>Salaires!J21</f>
        <v>0</v>
      </c>
      <c r="J17" s="158">
        <f>Salaires!K21</f>
        <v>0</v>
      </c>
      <c r="K17" s="158">
        <f>Salaires!L21</f>
        <v>0</v>
      </c>
      <c r="L17" s="158">
        <f>Salaires!M21</f>
        <v>0</v>
      </c>
      <c r="M17" s="158">
        <f>Salaires!N21</f>
        <v>0</v>
      </c>
      <c r="N17" s="163">
        <f t="shared" si="0"/>
        <v>0</v>
      </c>
    </row>
    <row r="18" spans="1:14" x14ac:dyDescent="0.25">
      <c r="A18" s="156" t="s">
        <v>174</v>
      </c>
      <c r="B18" s="158">
        <f>IF(Caractéristiques!$C$25="Régime général de la sécurité sociale",'Calcul prévi'!C368,IF(Caractéristiques!$C$25="Sécurité sociale des indépendants (RSI)",'Calcul prévi'!C361,0))</f>
        <v>0</v>
      </c>
      <c r="C18" s="158">
        <f>IF(Caractéristiques!$C$25="Régime général de la sécurité sociale",'Calcul prévi'!D368,IF(Caractéristiques!$C$25="Sécurité sociale des indépendants (RSI)",'Calcul prévi'!D361,0))</f>
        <v>0</v>
      </c>
      <c r="D18" s="158">
        <f>IF(Caractéristiques!$C$25="Régime général de la sécurité sociale",'Calcul prévi'!E368,IF(Caractéristiques!$C$25="Sécurité sociale des indépendants (RSI)",'Calcul prévi'!E361,0))</f>
        <v>0</v>
      </c>
      <c r="E18" s="158">
        <f>IF(Caractéristiques!$C$25="Régime général de la sécurité sociale",'Calcul prévi'!F368,IF(Caractéristiques!$C$25="Sécurité sociale des indépendants (RSI)",'Calcul prévi'!F361,0))</f>
        <v>0</v>
      </c>
      <c r="F18" s="158">
        <f>IF(Caractéristiques!$C$25="Régime général de la sécurité sociale",'Calcul prévi'!G368,IF(Caractéristiques!$C$25="Sécurité sociale des indépendants (RSI)",'Calcul prévi'!G361,0))</f>
        <v>0</v>
      </c>
      <c r="G18" s="158">
        <f>IF(Caractéristiques!$C$25="Régime général de la sécurité sociale",'Calcul prévi'!H368,IF(Caractéristiques!$C$25="Sécurité sociale des indépendants (RSI)",'Calcul prévi'!H361,0))</f>
        <v>0</v>
      </c>
      <c r="H18" s="158">
        <f>IF(Caractéristiques!$C$25="Régime général de la sécurité sociale",'Calcul prévi'!I368,IF(Caractéristiques!$C$25="Sécurité sociale des indépendants (RSI)",'Calcul prévi'!I361,0))</f>
        <v>0</v>
      </c>
      <c r="I18" s="158">
        <f>IF(Caractéristiques!$C$25="Régime général de la sécurité sociale",'Calcul prévi'!J368,IF(Caractéristiques!$C$25="Sécurité sociale des indépendants (RSI)",'Calcul prévi'!J361,0))</f>
        <v>0</v>
      </c>
      <c r="J18" s="158">
        <f>IF(Caractéristiques!$C$25="Régime général de la sécurité sociale",'Calcul prévi'!K368,IF(Caractéristiques!$C$25="Sécurité sociale des indépendants (RSI)",'Calcul prévi'!K361,0))</f>
        <v>0</v>
      </c>
      <c r="K18" s="158">
        <f>IF(Caractéristiques!$C$25="Régime général de la sécurité sociale",'Calcul prévi'!L368,IF(Caractéristiques!$C$25="Sécurité sociale des indépendants (RSI)",'Calcul prévi'!L361,0))</f>
        <v>0</v>
      </c>
      <c r="L18" s="158">
        <f>IF(Caractéristiques!$C$25="Régime général de la sécurité sociale",'Calcul prévi'!M368,IF(Caractéristiques!$C$25="Sécurité sociale des indépendants (RSI)",'Calcul prévi'!M361,0))</f>
        <v>0</v>
      </c>
      <c r="M18" s="158">
        <f>IF(Caractéristiques!$C$25="Régime général de la sécurité sociale",'Calcul prévi'!N368,IF(Caractéristiques!$C$25="Sécurité sociale des indépendants (RSI)",'Calcul prévi'!N361,0))</f>
        <v>0</v>
      </c>
      <c r="N18" s="163">
        <f t="shared" si="0"/>
        <v>0</v>
      </c>
    </row>
    <row r="19" spans="1:14" x14ac:dyDescent="0.25">
      <c r="A19" s="156" t="s">
        <v>292</v>
      </c>
      <c r="B19" s="158">
        <f>'Calcul prévi'!C421</f>
        <v>0</v>
      </c>
      <c r="C19" s="158">
        <f>'Calcul prévi'!D421</f>
        <v>0</v>
      </c>
      <c r="D19" s="158">
        <f>'Calcul prévi'!E421</f>
        <v>0</v>
      </c>
      <c r="E19" s="158">
        <f>'Calcul prévi'!F421</f>
        <v>0</v>
      </c>
      <c r="F19" s="158">
        <f>'Calcul prévi'!G421</f>
        <v>0</v>
      </c>
      <c r="G19" s="158">
        <f>'Calcul prévi'!H421</f>
        <v>0</v>
      </c>
      <c r="H19" s="158">
        <f>'Calcul prévi'!I421</f>
        <v>0</v>
      </c>
      <c r="I19" s="158">
        <f>'Calcul prévi'!J421</f>
        <v>0</v>
      </c>
      <c r="J19" s="158">
        <f>'Calcul prévi'!K421</f>
        <v>0</v>
      </c>
      <c r="K19" s="158">
        <f>'Calcul prévi'!L421</f>
        <v>0</v>
      </c>
      <c r="L19" s="158">
        <f>'Calcul prévi'!M421</f>
        <v>0</v>
      </c>
      <c r="M19" s="158">
        <f>'Calcul prévi'!N421</f>
        <v>0</v>
      </c>
      <c r="N19" s="163">
        <f t="shared" si="0"/>
        <v>0</v>
      </c>
    </row>
    <row r="20" spans="1:14" x14ac:dyDescent="0.25">
      <c r="A20" s="156" t="s">
        <v>175</v>
      </c>
      <c r="B20" s="158">
        <f>'Calcul prévi'!C425</f>
        <v>0</v>
      </c>
      <c r="C20" s="158">
        <f>'Calcul prévi'!D425</f>
        <v>0</v>
      </c>
      <c r="D20" s="158">
        <f>'Calcul prévi'!E425</f>
        <v>0</v>
      </c>
      <c r="E20" s="158">
        <f>'Calcul prévi'!F425</f>
        <v>0</v>
      </c>
      <c r="F20" s="158">
        <f>'Calcul prévi'!G425</f>
        <v>0</v>
      </c>
      <c r="G20" s="158">
        <f>'Calcul prévi'!H425</f>
        <v>0</v>
      </c>
      <c r="H20" s="158">
        <f>'Calcul prévi'!I425</f>
        <v>0</v>
      </c>
      <c r="I20" s="158">
        <f>'Calcul prévi'!J425</f>
        <v>0</v>
      </c>
      <c r="J20" s="158">
        <f>'Calcul prévi'!K425</f>
        <v>0</v>
      </c>
      <c r="K20" s="158">
        <f>'Calcul prévi'!L425</f>
        <v>0</v>
      </c>
      <c r="L20" s="158">
        <f>'Calcul prévi'!M425</f>
        <v>0</v>
      </c>
      <c r="M20" s="158">
        <f>'Calcul prévi'!N425</f>
        <v>0</v>
      </c>
      <c r="N20" s="163">
        <f t="shared" si="0"/>
        <v>0</v>
      </c>
    </row>
    <row r="21" spans="1:14" x14ac:dyDescent="0.25">
      <c r="A21" s="156" t="s">
        <v>293</v>
      </c>
      <c r="B21" s="158">
        <f>IF('Calcul prévi'!C45&gt;0,'Calcul prévi'!C45,0)</f>
        <v>0</v>
      </c>
      <c r="C21" s="158">
        <f>IF('Calcul prévi'!D45&gt;0,'Calcul prévi'!D45,0)</f>
        <v>0</v>
      </c>
      <c r="D21" s="158">
        <f>IF('Calcul prévi'!E45&gt;0,'Calcul prévi'!E45,0)</f>
        <v>0</v>
      </c>
      <c r="E21" s="158">
        <f>IF('Calcul prévi'!F45&gt;0,'Calcul prévi'!F45,0)</f>
        <v>0</v>
      </c>
      <c r="F21" s="158">
        <f>IF('Calcul prévi'!G45&gt;0,'Calcul prévi'!G45,0)</f>
        <v>0</v>
      </c>
      <c r="G21" s="158">
        <f>IF('Calcul prévi'!H45&gt;0,'Calcul prévi'!H45,0)</f>
        <v>0</v>
      </c>
      <c r="H21" s="158">
        <f>IF('Calcul prévi'!I45&gt;0,'Calcul prévi'!I45,0)</f>
        <v>0</v>
      </c>
      <c r="I21" s="158">
        <f>IF('Calcul prévi'!J45&gt;0,'Calcul prévi'!J45,0)</f>
        <v>0</v>
      </c>
      <c r="J21" s="158">
        <f>IF('Calcul prévi'!K45&gt;0,'Calcul prévi'!K45,0)</f>
        <v>0</v>
      </c>
      <c r="K21" s="158">
        <f>IF('Calcul prévi'!L45&gt;0,'Calcul prévi'!L45,0)</f>
        <v>0</v>
      </c>
      <c r="L21" s="158">
        <f>IF('Calcul prévi'!M45&gt;0,'Calcul prévi'!M45,0)</f>
        <v>0</v>
      </c>
      <c r="M21" s="158">
        <f>IF('Calcul prévi'!N45&gt;0,'Calcul prévi'!N45,0)</f>
        <v>0</v>
      </c>
      <c r="N21" s="163">
        <f t="shared" si="0"/>
        <v>0</v>
      </c>
    </row>
    <row r="22" spans="1:14" x14ac:dyDescent="0.25">
      <c r="A22" s="156" t="s">
        <v>41</v>
      </c>
      <c r="B22" s="158">
        <v>0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63">
        <f t="shared" si="0"/>
        <v>0</v>
      </c>
    </row>
    <row r="23" spans="1:14" x14ac:dyDescent="0.25">
      <c r="A23" s="156" t="s">
        <v>42</v>
      </c>
      <c r="B23" s="158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f>+'Calcul prévi'!C568</f>
        <v>0</v>
      </c>
      <c r="N23" s="163">
        <f t="shared" si="0"/>
        <v>0</v>
      </c>
    </row>
    <row r="24" spans="1:14" x14ac:dyDescent="0.25">
      <c r="A24" s="156" t="s">
        <v>44</v>
      </c>
      <c r="B24" s="158">
        <f>Financements!C21</f>
        <v>0</v>
      </c>
      <c r="C24" s="158">
        <f>Financements!D21</f>
        <v>0</v>
      </c>
      <c r="D24" s="158">
        <f>Financements!E21</f>
        <v>0</v>
      </c>
      <c r="E24" s="158">
        <f>Financements!F21</f>
        <v>0</v>
      </c>
      <c r="F24" s="158">
        <f>Financements!G21</f>
        <v>0</v>
      </c>
      <c r="G24" s="158">
        <f>Financements!H21</f>
        <v>0</v>
      </c>
      <c r="H24" s="158">
        <f>Financements!I21</f>
        <v>0</v>
      </c>
      <c r="I24" s="158">
        <f>Financements!J21</f>
        <v>0</v>
      </c>
      <c r="J24" s="158">
        <f>Financements!K21</f>
        <v>0</v>
      </c>
      <c r="K24" s="158">
        <f>Financements!L21</f>
        <v>0</v>
      </c>
      <c r="L24" s="158">
        <f>Financements!M21</f>
        <v>0</v>
      </c>
      <c r="M24" s="158">
        <f>Financements!N21</f>
        <v>0</v>
      </c>
      <c r="N24" s="163">
        <f t="shared" si="0"/>
        <v>0</v>
      </c>
    </row>
    <row r="25" spans="1:14" x14ac:dyDescent="0.25">
      <c r="A25" s="156" t="s">
        <v>43</v>
      </c>
      <c r="B25" s="158">
        <f>'Calcul prévi'!F232+'Calcul prévi'!F271+'Calcul prévi'!F310</f>
        <v>0</v>
      </c>
      <c r="C25" s="158">
        <f>'Calcul prévi'!F311+'Calcul prévi'!F272+'Calcul prévi'!F233</f>
        <v>0</v>
      </c>
      <c r="D25" s="158">
        <f>'Calcul prévi'!F234+'Calcul prévi'!F273+'Calcul prévi'!F312</f>
        <v>0</v>
      </c>
      <c r="E25" s="158">
        <f>'Calcul prévi'!F313+'Calcul prévi'!F274+'Calcul prévi'!F235</f>
        <v>0</v>
      </c>
      <c r="F25" s="158">
        <f>'Calcul prévi'!F236+'Calcul prévi'!F275+'Calcul prévi'!F314</f>
        <v>0</v>
      </c>
      <c r="G25" s="158">
        <f>'Calcul prévi'!F315+'Calcul prévi'!F276+'Calcul prévi'!F237</f>
        <v>0</v>
      </c>
      <c r="H25" s="158">
        <f>'Calcul prévi'!F238+'Calcul prévi'!F277+'Calcul prévi'!F316</f>
        <v>0</v>
      </c>
      <c r="I25" s="158">
        <f>'Calcul prévi'!F317+'Calcul prévi'!F278+'Calcul prévi'!F239</f>
        <v>0</v>
      </c>
      <c r="J25" s="158">
        <f>'Calcul prévi'!F240+'Calcul prévi'!F279+'Calcul prévi'!F318</f>
        <v>0</v>
      </c>
      <c r="K25" s="158">
        <f>'Calcul prévi'!F319+'Calcul prévi'!F280+'Calcul prévi'!F241</f>
        <v>0</v>
      </c>
      <c r="L25" s="158">
        <f>'Calcul prévi'!F242+'Calcul prévi'!F281+'Calcul prévi'!F320</f>
        <v>0</v>
      </c>
      <c r="M25" s="158">
        <f>'Calcul prévi'!F321+'Calcul prévi'!F282+'Calcul prévi'!F243</f>
        <v>0</v>
      </c>
      <c r="N25" s="163">
        <f t="shared" si="0"/>
        <v>0</v>
      </c>
    </row>
    <row r="26" spans="1:14" x14ac:dyDescent="0.25">
      <c r="A26" s="156" t="s">
        <v>441</v>
      </c>
      <c r="B26" s="158">
        <f>'Calcul prévi'!C587</f>
        <v>0</v>
      </c>
      <c r="C26" s="158">
        <f>'Calcul prévi'!D587</f>
        <v>0</v>
      </c>
      <c r="D26" s="158">
        <f>'Calcul prévi'!E587</f>
        <v>0</v>
      </c>
      <c r="E26" s="158">
        <f>'Calcul prévi'!F587</f>
        <v>0</v>
      </c>
      <c r="F26" s="158">
        <f>'Calcul prévi'!G587</f>
        <v>0</v>
      </c>
      <c r="G26" s="158">
        <f>'Calcul prévi'!H587</f>
        <v>0</v>
      </c>
      <c r="H26" s="158">
        <f>'Calcul prévi'!I587</f>
        <v>0</v>
      </c>
      <c r="I26" s="158">
        <f>'Calcul prévi'!J587</f>
        <v>0</v>
      </c>
      <c r="J26" s="158">
        <f>'Calcul prévi'!K587</f>
        <v>0</v>
      </c>
      <c r="K26" s="158">
        <f>'Calcul prévi'!L587</f>
        <v>0</v>
      </c>
      <c r="L26" s="158">
        <f>'Calcul prévi'!M587</f>
        <v>0</v>
      </c>
      <c r="M26" s="158">
        <f>'Calcul prévi'!N587</f>
        <v>0</v>
      </c>
      <c r="N26" s="163">
        <f t="shared" si="0"/>
        <v>0</v>
      </c>
    </row>
    <row r="27" spans="1:14" s="5" customFormat="1" ht="18.75" customHeight="1" x14ac:dyDescent="0.2">
      <c r="A27" s="153" t="s">
        <v>47</v>
      </c>
      <c r="B27" s="159">
        <f>SUM(B14:B26)</f>
        <v>0</v>
      </c>
      <c r="C27" s="159">
        <f t="shared" ref="C27:M27" si="2">SUM(C14:C26)</f>
        <v>0</v>
      </c>
      <c r="D27" s="159">
        <f t="shared" si="2"/>
        <v>0</v>
      </c>
      <c r="E27" s="159">
        <f t="shared" si="2"/>
        <v>0</v>
      </c>
      <c r="F27" s="159">
        <f t="shared" si="2"/>
        <v>0</v>
      </c>
      <c r="G27" s="159">
        <f t="shared" si="2"/>
        <v>0</v>
      </c>
      <c r="H27" s="159">
        <f t="shared" si="2"/>
        <v>0</v>
      </c>
      <c r="I27" s="159">
        <f t="shared" si="2"/>
        <v>0</v>
      </c>
      <c r="J27" s="159">
        <f t="shared" si="2"/>
        <v>0</v>
      </c>
      <c r="K27" s="159">
        <f t="shared" si="2"/>
        <v>0</v>
      </c>
      <c r="L27" s="159">
        <f t="shared" si="2"/>
        <v>0</v>
      </c>
      <c r="M27" s="159">
        <f t="shared" si="2"/>
        <v>0</v>
      </c>
      <c r="N27" s="163">
        <f t="shared" si="0"/>
        <v>0</v>
      </c>
    </row>
    <row r="28" spans="1:14" s="9" customFormat="1" x14ac:dyDescent="0.25">
      <c r="A28" s="160" t="s">
        <v>45</v>
      </c>
      <c r="B28" s="166">
        <f>B12-B27</f>
        <v>0</v>
      </c>
      <c r="C28" s="166">
        <f t="shared" ref="C28:M28" si="3">C12-C27</f>
        <v>0</v>
      </c>
      <c r="D28" s="166">
        <f t="shared" si="3"/>
        <v>0</v>
      </c>
      <c r="E28" s="166">
        <f t="shared" si="3"/>
        <v>0</v>
      </c>
      <c r="F28" s="166">
        <f t="shared" si="3"/>
        <v>0</v>
      </c>
      <c r="G28" s="166">
        <f t="shared" si="3"/>
        <v>0</v>
      </c>
      <c r="H28" s="166">
        <f t="shared" si="3"/>
        <v>0</v>
      </c>
      <c r="I28" s="166">
        <f t="shared" si="3"/>
        <v>0</v>
      </c>
      <c r="J28" s="166">
        <f t="shared" si="3"/>
        <v>0</v>
      </c>
      <c r="K28" s="166">
        <f t="shared" si="3"/>
        <v>0</v>
      </c>
      <c r="L28" s="166">
        <f t="shared" si="3"/>
        <v>0</v>
      </c>
      <c r="M28" s="166">
        <f t="shared" si="3"/>
        <v>0</v>
      </c>
      <c r="N28" s="167"/>
    </row>
    <row r="29" spans="1:14" s="5" customFormat="1" x14ac:dyDescent="0.25">
      <c r="A29" s="151" t="s">
        <v>46</v>
      </c>
      <c r="B29" s="168">
        <f>B12-B27</f>
        <v>0</v>
      </c>
      <c r="C29" s="168">
        <f>B29+C12-C27</f>
        <v>0</v>
      </c>
      <c r="D29" s="168">
        <f t="shared" ref="D29:M29" si="4">C29+D12-D27</f>
        <v>0</v>
      </c>
      <c r="E29" s="168">
        <f t="shared" si="4"/>
        <v>0</v>
      </c>
      <c r="F29" s="168">
        <f t="shared" si="4"/>
        <v>0</v>
      </c>
      <c r="G29" s="168">
        <f t="shared" si="4"/>
        <v>0</v>
      </c>
      <c r="H29" s="168">
        <f t="shared" si="4"/>
        <v>0</v>
      </c>
      <c r="I29" s="168">
        <f t="shared" si="4"/>
        <v>0</v>
      </c>
      <c r="J29" s="168">
        <f t="shared" si="4"/>
        <v>0</v>
      </c>
      <c r="K29" s="168">
        <f t="shared" si="4"/>
        <v>0</v>
      </c>
      <c r="L29" s="168">
        <f t="shared" si="4"/>
        <v>0</v>
      </c>
      <c r="M29" s="245">
        <f t="shared" si="4"/>
        <v>0</v>
      </c>
      <c r="N29" s="168"/>
    </row>
    <row r="30" spans="1:14" ht="22.5" customHeight="1" x14ac:dyDescent="0.25"/>
    <row r="31" spans="1:14" ht="18.75" x14ac:dyDescent="0.3">
      <c r="A31" s="157" t="s">
        <v>147</v>
      </c>
      <c r="B31" s="100" t="s">
        <v>149</v>
      </c>
      <c r="C31" s="100" t="s">
        <v>150</v>
      </c>
      <c r="D31" s="100" t="s">
        <v>151</v>
      </c>
      <c r="E31" s="100" t="s">
        <v>152</v>
      </c>
      <c r="F31" s="100" t="s">
        <v>153</v>
      </c>
      <c r="G31" s="100" t="s">
        <v>154</v>
      </c>
      <c r="H31" s="100" t="s">
        <v>155</v>
      </c>
      <c r="I31" s="100" t="s">
        <v>156</v>
      </c>
      <c r="J31" s="100" t="s">
        <v>157</v>
      </c>
      <c r="K31" s="100" t="s">
        <v>158</v>
      </c>
      <c r="L31" s="100" t="s">
        <v>159</v>
      </c>
      <c r="M31" s="100" t="s">
        <v>160</v>
      </c>
      <c r="N31" s="3"/>
    </row>
    <row r="32" spans="1:14" x14ac:dyDescent="0.25">
      <c r="A32" s="150" t="s">
        <v>34</v>
      </c>
      <c r="B32" s="448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50"/>
      <c r="N32" s="152" t="s">
        <v>20</v>
      </c>
    </row>
    <row r="33" spans="1:14" x14ac:dyDescent="0.25">
      <c r="A33" s="155" t="s">
        <v>35</v>
      </c>
      <c r="B33" s="162">
        <f>'Calcul prévi'!C95</f>
        <v>0</v>
      </c>
      <c r="C33" s="162">
        <f>'Calcul prévi'!D95</f>
        <v>0</v>
      </c>
      <c r="D33" s="162">
        <f>'Calcul prévi'!E95</f>
        <v>0</v>
      </c>
      <c r="E33" s="162">
        <f>'Calcul prévi'!F95</f>
        <v>0</v>
      </c>
      <c r="F33" s="162">
        <f>'Calcul prévi'!G95</f>
        <v>0</v>
      </c>
      <c r="G33" s="162">
        <f>'Calcul prévi'!H95</f>
        <v>0</v>
      </c>
      <c r="H33" s="162">
        <f>'Calcul prévi'!I95</f>
        <v>0</v>
      </c>
      <c r="I33" s="162">
        <f>'Calcul prévi'!J95</f>
        <v>0</v>
      </c>
      <c r="J33" s="162">
        <f>'Calcul prévi'!K95</f>
        <v>0</v>
      </c>
      <c r="K33" s="162">
        <f>'Calcul prévi'!L95</f>
        <v>0</v>
      </c>
      <c r="L33" s="162">
        <f>'Calcul prévi'!M95</f>
        <v>0</v>
      </c>
      <c r="M33" s="162">
        <f>'Calcul prévi'!N95</f>
        <v>0</v>
      </c>
      <c r="N33" s="163">
        <f>SUM(B33:M33)</f>
        <v>0</v>
      </c>
    </row>
    <row r="34" spans="1:14" x14ac:dyDescent="0.25">
      <c r="A34" s="155" t="s">
        <v>36</v>
      </c>
      <c r="B34" s="162">
        <f>Financements!C25</f>
        <v>0</v>
      </c>
      <c r="C34" s="162">
        <f>Financements!D25</f>
        <v>0</v>
      </c>
      <c r="D34" s="162">
        <f>Financements!E25</f>
        <v>0</v>
      </c>
      <c r="E34" s="162">
        <f>Financements!F25</f>
        <v>0</v>
      </c>
      <c r="F34" s="162">
        <f>Financements!G25</f>
        <v>0</v>
      </c>
      <c r="G34" s="162">
        <f>Financements!H25</f>
        <v>0</v>
      </c>
      <c r="H34" s="162">
        <f>Financements!I25</f>
        <v>0</v>
      </c>
      <c r="I34" s="162">
        <f>Financements!J25</f>
        <v>0</v>
      </c>
      <c r="J34" s="162">
        <f>Financements!K25</f>
        <v>0</v>
      </c>
      <c r="K34" s="162">
        <f>Financements!L25</f>
        <v>0</v>
      </c>
      <c r="L34" s="162">
        <f>Financements!M25</f>
        <v>0</v>
      </c>
      <c r="M34" s="162">
        <f>Financements!N25</f>
        <v>0</v>
      </c>
      <c r="N34" s="163">
        <f t="shared" ref="N34:N40" si="5">SUM(B34:M34)</f>
        <v>0</v>
      </c>
    </row>
    <row r="35" spans="1:14" x14ac:dyDescent="0.25">
      <c r="A35" s="155" t="s">
        <v>38</v>
      </c>
      <c r="B35" s="162">
        <f>Financements!C26</f>
        <v>0</v>
      </c>
      <c r="C35" s="162">
        <f>Financements!D26</f>
        <v>0</v>
      </c>
      <c r="D35" s="162">
        <f>Financements!E26</f>
        <v>0</v>
      </c>
      <c r="E35" s="162">
        <f>Financements!F26</f>
        <v>0</v>
      </c>
      <c r="F35" s="162">
        <f>Financements!G26</f>
        <v>0</v>
      </c>
      <c r="G35" s="162">
        <f>Financements!H26</f>
        <v>0</v>
      </c>
      <c r="H35" s="162">
        <f>Financements!I26</f>
        <v>0</v>
      </c>
      <c r="I35" s="162">
        <f>Financements!J26</f>
        <v>0</v>
      </c>
      <c r="J35" s="162">
        <f>Financements!K26</f>
        <v>0</v>
      </c>
      <c r="K35" s="162">
        <f>Financements!L26</f>
        <v>0</v>
      </c>
      <c r="L35" s="162">
        <f>Financements!M26</f>
        <v>0</v>
      </c>
      <c r="M35" s="162">
        <f>Financements!N26</f>
        <v>0</v>
      </c>
      <c r="N35" s="163">
        <f t="shared" si="5"/>
        <v>0</v>
      </c>
    </row>
    <row r="36" spans="1:14" x14ac:dyDescent="0.25">
      <c r="A36" s="155" t="s">
        <v>295</v>
      </c>
      <c r="B36" s="162">
        <f>'Calcul prévi'!D322+'Calcul prévi'!D283+'Calcul prévi'!D244</f>
        <v>0</v>
      </c>
      <c r="C36" s="162">
        <f>'Calcul prévi'!D245+'Calcul prévi'!D284+'Calcul prévi'!D323</f>
        <v>0</v>
      </c>
      <c r="D36" s="162">
        <f>'Calcul prévi'!D324+'Calcul prévi'!D285+'Calcul prévi'!D246</f>
        <v>0</v>
      </c>
      <c r="E36" s="162">
        <f>'Calcul prévi'!D247+'Calcul prévi'!D286+'Calcul prévi'!D325</f>
        <v>0</v>
      </c>
      <c r="F36" s="162">
        <f>'Calcul prévi'!D326+'Calcul prévi'!D287+'Calcul prévi'!D248</f>
        <v>0</v>
      </c>
      <c r="G36" s="162">
        <f>'Calcul prévi'!D249+'Calcul prévi'!D288+'Calcul prévi'!D327</f>
        <v>0</v>
      </c>
      <c r="H36" s="162">
        <f>'Calcul prévi'!D328+'Calcul prévi'!D289+'Calcul prévi'!D250</f>
        <v>0</v>
      </c>
      <c r="I36" s="162">
        <f>'Calcul prévi'!D251+'Calcul prévi'!D290+'Calcul prévi'!D329</f>
        <v>0</v>
      </c>
      <c r="J36" s="162">
        <f>'Calcul prévi'!D330+'Calcul prévi'!D291+'Calcul prévi'!D252</f>
        <v>0</v>
      </c>
      <c r="K36" s="162">
        <f>'Calcul prévi'!D253+'Calcul prévi'!D292+'Calcul prévi'!D331</f>
        <v>0</v>
      </c>
      <c r="L36" s="162">
        <f>'Calcul prévi'!D332+'Calcul prévi'!D293+'Calcul prévi'!D254</f>
        <v>0</v>
      </c>
      <c r="M36" s="162">
        <f>'Calcul prévi'!D255+'Calcul prévi'!D294+'Calcul prévi'!D333</f>
        <v>0</v>
      </c>
      <c r="N36" s="163">
        <f t="shared" si="5"/>
        <v>0</v>
      </c>
    </row>
    <row r="37" spans="1:14" x14ac:dyDescent="0.25">
      <c r="A37" s="155" t="s">
        <v>350</v>
      </c>
      <c r="B37" s="162">
        <f>'Calcul prévi'!C383</f>
        <v>0</v>
      </c>
      <c r="C37" s="162">
        <f>'Calcul prévi'!D383</f>
        <v>0</v>
      </c>
      <c r="D37" s="162">
        <f>'Calcul prévi'!E383</f>
        <v>0</v>
      </c>
      <c r="E37" s="162">
        <f>'Calcul prévi'!F383</f>
        <v>0</v>
      </c>
      <c r="F37" s="162">
        <f>'Calcul prévi'!G383</f>
        <v>0</v>
      </c>
      <c r="G37" s="162">
        <f>'Calcul prévi'!H383</f>
        <v>0</v>
      </c>
      <c r="H37" s="162">
        <f>'Calcul prévi'!I383</f>
        <v>0</v>
      </c>
      <c r="I37" s="162">
        <f>'Calcul prévi'!J383</f>
        <v>0</v>
      </c>
      <c r="J37" s="162">
        <f>'Calcul prévi'!K383</f>
        <v>0</v>
      </c>
      <c r="K37" s="162">
        <f>'Calcul prévi'!L383</f>
        <v>0</v>
      </c>
      <c r="L37" s="162">
        <f>'Calcul prévi'!M383</f>
        <v>0</v>
      </c>
      <c r="M37" s="162">
        <f>'Calcul prévi'!N383</f>
        <v>0</v>
      </c>
      <c r="N37" s="163">
        <f t="shared" si="5"/>
        <v>0</v>
      </c>
    </row>
    <row r="38" spans="1:14" x14ac:dyDescent="0.25">
      <c r="A38" s="155" t="s">
        <v>306</v>
      </c>
      <c r="B38" s="162">
        <f>IF('Calcul prévi'!C64&lt;0,-'Calcul prévi'!C64,0)</f>
        <v>0</v>
      </c>
      <c r="C38" s="162">
        <f>IF('Calcul prévi'!D64&lt;0,-'Calcul prévi'!D64,0)</f>
        <v>0</v>
      </c>
      <c r="D38" s="162">
        <f>IF('Calcul prévi'!E64&lt;0,-'Calcul prévi'!E64,0)</f>
        <v>0</v>
      </c>
      <c r="E38" s="162">
        <f>IF('Calcul prévi'!F64&lt;0,-'Calcul prévi'!F64,0)</f>
        <v>0</v>
      </c>
      <c r="F38" s="162">
        <f>IF('Calcul prévi'!G64&lt;0,-'Calcul prévi'!G64,0)</f>
        <v>0</v>
      </c>
      <c r="G38" s="162">
        <f>IF('Calcul prévi'!H64&lt;0,-'Calcul prévi'!H64,0)</f>
        <v>0</v>
      </c>
      <c r="H38" s="162">
        <f>IF('Calcul prévi'!I64&lt;0,-'Calcul prévi'!I64,0)</f>
        <v>0</v>
      </c>
      <c r="I38" s="162">
        <f>IF('Calcul prévi'!J64&lt;0,-'Calcul prévi'!J64,0)</f>
        <v>0</v>
      </c>
      <c r="J38" s="162">
        <f>IF('Calcul prévi'!K64&lt;0,-'Calcul prévi'!K64,0)</f>
        <v>0</v>
      </c>
      <c r="K38" s="162">
        <f>IF('Calcul prévi'!L64&lt;0,-'Calcul prévi'!L64,0)</f>
        <v>0</v>
      </c>
      <c r="L38" s="162">
        <f>IF('Calcul prévi'!M64&lt;0,-'Calcul prévi'!M64,0)</f>
        <v>0</v>
      </c>
      <c r="M38" s="162">
        <f>IF('Calcul prévi'!N64&lt;0,-'Calcul prévi'!N64,0)</f>
        <v>0</v>
      </c>
      <c r="N38" s="163">
        <f t="shared" si="5"/>
        <v>0</v>
      </c>
    </row>
    <row r="39" spans="1:14" x14ac:dyDescent="0.25">
      <c r="A39" s="155" t="s">
        <v>454</v>
      </c>
      <c r="B39" s="162">
        <f>'Calcul prévi'!C621</f>
        <v>0</v>
      </c>
      <c r="C39" s="162">
        <f>'Calcul prévi'!D621</f>
        <v>0</v>
      </c>
      <c r="D39" s="162">
        <f>'Calcul prévi'!E621</f>
        <v>0</v>
      </c>
      <c r="E39" s="162">
        <f>'Calcul prévi'!F621</f>
        <v>0</v>
      </c>
      <c r="F39" s="162">
        <f>'Calcul prévi'!G621</f>
        <v>0</v>
      </c>
      <c r="G39" s="162">
        <f>'Calcul prévi'!H621</f>
        <v>0</v>
      </c>
      <c r="H39" s="162">
        <f>'Calcul prévi'!I621</f>
        <v>0</v>
      </c>
      <c r="I39" s="162">
        <f>'Calcul prévi'!J621</f>
        <v>0</v>
      </c>
      <c r="J39" s="162">
        <f>'Calcul prévi'!K621</f>
        <v>0</v>
      </c>
      <c r="K39" s="162">
        <f>'Calcul prévi'!L621</f>
        <v>0</v>
      </c>
      <c r="L39" s="162">
        <f>'Calcul prévi'!M621</f>
        <v>0</v>
      </c>
      <c r="M39" s="162">
        <f>'Calcul prévi'!N621</f>
        <v>0</v>
      </c>
      <c r="N39" s="163">
        <f t="shared" si="5"/>
        <v>0</v>
      </c>
    </row>
    <row r="40" spans="1:14" x14ac:dyDescent="0.25">
      <c r="A40" s="153" t="s">
        <v>39</v>
      </c>
      <c r="B40" s="165">
        <f>SUM(B33:B39)</f>
        <v>0</v>
      </c>
      <c r="C40" s="165">
        <f t="shared" ref="C40" si="6">SUM(C33:C39)</f>
        <v>0</v>
      </c>
      <c r="D40" s="165">
        <f t="shared" ref="D40" si="7">SUM(D33:D39)</f>
        <v>0</v>
      </c>
      <c r="E40" s="165">
        <f t="shared" ref="E40" si="8">SUM(E33:E39)</f>
        <v>0</v>
      </c>
      <c r="F40" s="165">
        <f t="shared" ref="F40" si="9">SUM(F33:F39)</f>
        <v>0</v>
      </c>
      <c r="G40" s="165">
        <f t="shared" ref="G40" si="10">SUM(G33:G39)</f>
        <v>0</v>
      </c>
      <c r="H40" s="165">
        <f t="shared" ref="H40" si="11">SUM(H33:H39)</f>
        <v>0</v>
      </c>
      <c r="I40" s="165">
        <f t="shared" ref="I40" si="12">SUM(I33:I39)</f>
        <v>0</v>
      </c>
      <c r="J40" s="165">
        <f t="shared" ref="J40" si="13">SUM(J33:J39)</f>
        <v>0</v>
      </c>
      <c r="K40" s="165">
        <f t="shared" ref="K40" si="14">SUM(K33:K39)</f>
        <v>0</v>
      </c>
      <c r="L40" s="165">
        <f t="shared" ref="L40" si="15">SUM(L33:L39)</f>
        <v>0</v>
      </c>
      <c r="M40" s="165">
        <f t="shared" ref="M40" si="16">SUM(M33:M39)</f>
        <v>0</v>
      </c>
      <c r="N40" s="163">
        <f t="shared" si="5"/>
        <v>0</v>
      </c>
    </row>
    <row r="41" spans="1:14" x14ac:dyDescent="0.25">
      <c r="A41" s="154" t="s">
        <v>291</v>
      </c>
      <c r="B41" s="448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50"/>
      <c r="N41" s="151" t="s">
        <v>20</v>
      </c>
    </row>
    <row r="42" spans="1:14" x14ac:dyDescent="0.25">
      <c r="A42" s="156" t="s">
        <v>294</v>
      </c>
      <c r="B42" s="162">
        <f>'Calcul prévi'!H524</f>
        <v>0</v>
      </c>
      <c r="C42" s="162">
        <f>'Calcul prévi'!I524</f>
        <v>0</v>
      </c>
      <c r="D42" s="162">
        <f>'Calcul prévi'!J524</f>
        <v>0</v>
      </c>
      <c r="E42" s="162">
        <f>'Calcul prévi'!K524</f>
        <v>0</v>
      </c>
      <c r="F42" s="162">
        <f>'Calcul prévi'!L524</f>
        <v>0</v>
      </c>
      <c r="G42" s="162">
        <f>'Calcul prévi'!M524</f>
        <v>0</v>
      </c>
      <c r="H42" s="162">
        <f>'Calcul prévi'!N524</f>
        <v>0</v>
      </c>
      <c r="I42" s="162">
        <f>'Calcul prévi'!O524</f>
        <v>0</v>
      </c>
      <c r="J42" s="162">
        <f>'Calcul prévi'!P524</f>
        <v>0</v>
      </c>
      <c r="K42" s="162">
        <f>'Calcul prévi'!Q524</f>
        <v>0</v>
      </c>
      <c r="L42" s="162">
        <f>'Calcul prévi'!R524</f>
        <v>0</v>
      </c>
      <c r="M42" s="162">
        <f>'Calcul prévi'!S524</f>
        <v>0</v>
      </c>
      <c r="N42" s="163">
        <f t="shared" ref="N42:N55" si="17">SUM(B42:M42)</f>
        <v>0</v>
      </c>
    </row>
    <row r="43" spans="1:14" x14ac:dyDescent="0.25">
      <c r="A43" s="156" t="s">
        <v>231</v>
      </c>
      <c r="B43" s="162">
        <f>'Calcul prévi'!C109</f>
        <v>0</v>
      </c>
      <c r="C43" s="162">
        <f>'Calcul prévi'!D109</f>
        <v>0</v>
      </c>
      <c r="D43" s="162">
        <f>'Calcul prévi'!E109</f>
        <v>0</v>
      </c>
      <c r="E43" s="162">
        <f>'Calcul prévi'!F109</f>
        <v>0</v>
      </c>
      <c r="F43" s="162">
        <f>'Calcul prévi'!G109</f>
        <v>0</v>
      </c>
      <c r="G43" s="162">
        <f>'Calcul prévi'!H109</f>
        <v>0</v>
      </c>
      <c r="H43" s="162">
        <f>'Calcul prévi'!I109</f>
        <v>0</v>
      </c>
      <c r="I43" s="162">
        <f>'Calcul prévi'!J109</f>
        <v>0</v>
      </c>
      <c r="J43" s="162">
        <f>'Calcul prévi'!K109</f>
        <v>0</v>
      </c>
      <c r="K43" s="162">
        <f>'Calcul prévi'!L109</f>
        <v>0</v>
      </c>
      <c r="L43" s="162">
        <f>'Calcul prévi'!M109</f>
        <v>0</v>
      </c>
      <c r="M43" s="162">
        <f>'Calcul prévi'!N109</f>
        <v>0</v>
      </c>
      <c r="N43" s="163">
        <f t="shared" si="17"/>
        <v>0</v>
      </c>
    </row>
    <row r="44" spans="1:14" x14ac:dyDescent="0.25">
      <c r="A44" s="156" t="s">
        <v>244</v>
      </c>
      <c r="B44" s="162">
        <f>'Calcul prévi'!C211</f>
        <v>0</v>
      </c>
      <c r="C44" s="162">
        <f>'Calcul prévi'!D211</f>
        <v>0</v>
      </c>
      <c r="D44" s="162">
        <f>'Calcul prévi'!E211</f>
        <v>0</v>
      </c>
      <c r="E44" s="162">
        <f>'Calcul prévi'!F211</f>
        <v>0</v>
      </c>
      <c r="F44" s="162">
        <f>'Calcul prévi'!G211</f>
        <v>0</v>
      </c>
      <c r="G44" s="162">
        <f>'Calcul prévi'!H211</f>
        <v>0</v>
      </c>
      <c r="H44" s="162">
        <f>'Calcul prévi'!I211</f>
        <v>0</v>
      </c>
      <c r="I44" s="162">
        <f>'Calcul prévi'!J211</f>
        <v>0</v>
      </c>
      <c r="J44" s="162">
        <f>'Calcul prévi'!K211</f>
        <v>0</v>
      </c>
      <c r="K44" s="162">
        <f>'Calcul prévi'!L211</f>
        <v>0</v>
      </c>
      <c r="L44" s="162">
        <f>'Calcul prévi'!M211</f>
        <v>0</v>
      </c>
      <c r="M44" s="162">
        <f>'Calcul prévi'!N211</f>
        <v>0</v>
      </c>
      <c r="N44" s="163">
        <f t="shared" si="17"/>
        <v>0</v>
      </c>
    </row>
    <row r="45" spans="1:14" x14ac:dyDescent="0.25">
      <c r="A45" s="156" t="s">
        <v>351</v>
      </c>
      <c r="B45" s="162">
        <f>Salaires!C30</f>
        <v>0</v>
      </c>
      <c r="C45" s="162">
        <f>Salaires!D30</f>
        <v>0</v>
      </c>
      <c r="D45" s="162">
        <f>Salaires!E30</f>
        <v>0</v>
      </c>
      <c r="E45" s="162">
        <f>Salaires!F30</f>
        <v>0</v>
      </c>
      <c r="F45" s="162">
        <f>Salaires!G30</f>
        <v>0</v>
      </c>
      <c r="G45" s="162">
        <f>Salaires!H30</f>
        <v>0</v>
      </c>
      <c r="H45" s="162">
        <f>Salaires!I30</f>
        <v>0</v>
      </c>
      <c r="I45" s="162">
        <f>Salaires!J30</f>
        <v>0</v>
      </c>
      <c r="J45" s="162">
        <f>Salaires!K30</f>
        <v>0</v>
      </c>
      <c r="K45" s="162">
        <f>Salaires!L30</f>
        <v>0</v>
      </c>
      <c r="L45" s="162">
        <f>Salaires!M30</f>
        <v>0</v>
      </c>
      <c r="M45" s="162">
        <f>Salaires!N30</f>
        <v>0</v>
      </c>
      <c r="N45" s="163">
        <f t="shared" si="17"/>
        <v>0</v>
      </c>
    </row>
    <row r="46" spans="1:14" x14ac:dyDescent="0.25">
      <c r="A46" s="156" t="s">
        <v>174</v>
      </c>
      <c r="B46" s="158">
        <f>IF(Caractéristiques!$C$25="Régime général de la sécurité sociale",'Calcul prévi'!C390,IF(Caractéristiques!$C$25="Sécurité sociale des indépendants (RSI)",'Calcul prévi'!C382,0))</f>
        <v>0</v>
      </c>
      <c r="C46" s="158">
        <f>IF(Caractéristiques!$C$25="Régime général de la sécurité sociale",'Calcul prévi'!D390,IF(Caractéristiques!$C$25="Sécurité sociale des indépendants (RSI)",'Calcul prévi'!D382,0))</f>
        <v>0</v>
      </c>
      <c r="D46" s="158">
        <f>IF(Caractéristiques!$C$25="Régime général de la sécurité sociale",'Calcul prévi'!E390,IF(Caractéristiques!$C$25="Sécurité sociale des indépendants (RSI)",'Calcul prévi'!E382,0))</f>
        <v>0</v>
      </c>
      <c r="E46" s="158">
        <f>IF(Caractéristiques!$C$25="Régime général de la sécurité sociale",'Calcul prévi'!F390,IF(Caractéristiques!$C$25="Sécurité sociale des indépendants (RSI)",'Calcul prévi'!F382,0))</f>
        <v>0</v>
      </c>
      <c r="F46" s="158">
        <f>IF(Caractéristiques!$C$25="Régime général de la sécurité sociale",'Calcul prévi'!G390,IF(Caractéristiques!$C$25="Sécurité sociale des indépendants (RSI)",'Calcul prévi'!G382,0))</f>
        <v>0</v>
      </c>
      <c r="G46" s="158">
        <f>IF(Caractéristiques!$C$25="Régime général de la sécurité sociale",'Calcul prévi'!H390,IF(Caractéristiques!$C$25="Sécurité sociale des indépendants (RSI)",'Calcul prévi'!H382,0))</f>
        <v>0</v>
      </c>
      <c r="H46" s="158">
        <f>IF(Caractéristiques!$C$25="Régime général de la sécurité sociale",'Calcul prévi'!I390,IF(Caractéristiques!$C$25="Sécurité sociale des indépendants (RSI)",'Calcul prévi'!I382,0))</f>
        <v>0</v>
      </c>
      <c r="I46" s="158">
        <f>IF(Caractéristiques!$C$25="Régime général de la sécurité sociale",'Calcul prévi'!J390,IF(Caractéristiques!$C$25="Sécurité sociale des indépendants (RSI)",'Calcul prévi'!J382,0))</f>
        <v>0</v>
      </c>
      <c r="J46" s="158">
        <f>IF(Caractéristiques!$C$25="Régime général de la sécurité sociale",'Calcul prévi'!K390,IF(Caractéristiques!$C$25="Sécurité sociale des indépendants (RSI)",'Calcul prévi'!K382,0))</f>
        <v>0</v>
      </c>
      <c r="K46" s="158">
        <f>IF(Caractéristiques!$C$25="Régime général de la sécurité sociale",'Calcul prévi'!L390,IF(Caractéristiques!$C$25="Sécurité sociale des indépendants (RSI)",'Calcul prévi'!L382,0))</f>
        <v>0</v>
      </c>
      <c r="L46" s="158">
        <f>IF(Caractéristiques!$C$25="Régime général de la sécurité sociale",'Calcul prévi'!M390,IF(Caractéristiques!$C$25="Sécurité sociale des indépendants (RSI)",'Calcul prévi'!M382,0))</f>
        <v>0</v>
      </c>
      <c r="M46" s="158">
        <f>IF(Caractéristiques!$C$25="Régime général de la sécurité sociale",'Calcul prévi'!N390,IF(Caractéristiques!$C$25="Sécurité sociale des indépendants (RSI)",'Calcul prévi'!N382,0))</f>
        <v>0</v>
      </c>
      <c r="N46" s="163">
        <f t="shared" si="17"/>
        <v>0</v>
      </c>
    </row>
    <row r="47" spans="1:14" x14ac:dyDescent="0.25">
      <c r="A47" s="156" t="s">
        <v>292</v>
      </c>
      <c r="B47" s="162">
        <f>'Calcul prévi'!C431</f>
        <v>0</v>
      </c>
      <c r="C47" s="162">
        <f>'Calcul prévi'!D431</f>
        <v>0</v>
      </c>
      <c r="D47" s="162">
        <f>'Calcul prévi'!E431</f>
        <v>0</v>
      </c>
      <c r="E47" s="162">
        <f>'Calcul prévi'!F431</f>
        <v>0</v>
      </c>
      <c r="F47" s="162">
        <f>'Calcul prévi'!G431</f>
        <v>0</v>
      </c>
      <c r="G47" s="162">
        <f>'Calcul prévi'!H431</f>
        <v>0</v>
      </c>
      <c r="H47" s="162">
        <f>'Calcul prévi'!I431</f>
        <v>0</v>
      </c>
      <c r="I47" s="162">
        <f>'Calcul prévi'!J431</f>
        <v>0</v>
      </c>
      <c r="J47" s="162">
        <f>'Calcul prévi'!K431</f>
        <v>0</v>
      </c>
      <c r="K47" s="162">
        <f>'Calcul prévi'!L431</f>
        <v>0</v>
      </c>
      <c r="L47" s="162">
        <f>'Calcul prévi'!M431</f>
        <v>0</v>
      </c>
      <c r="M47" s="162">
        <f>'Calcul prévi'!N431</f>
        <v>0</v>
      </c>
      <c r="N47" s="163">
        <f t="shared" si="17"/>
        <v>0</v>
      </c>
    </row>
    <row r="48" spans="1:14" x14ac:dyDescent="0.25">
      <c r="A48" s="156" t="s">
        <v>175</v>
      </c>
      <c r="B48" s="162">
        <f>'Calcul prévi'!C435</f>
        <v>0</v>
      </c>
      <c r="C48" s="162">
        <f>'Calcul prévi'!D435</f>
        <v>0</v>
      </c>
      <c r="D48" s="162">
        <f>'Calcul prévi'!E435</f>
        <v>0</v>
      </c>
      <c r="E48" s="162">
        <f>'Calcul prévi'!F435</f>
        <v>0</v>
      </c>
      <c r="F48" s="162">
        <f>'Calcul prévi'!G435</f>
        <v>0</v>
      </c>
      <c r="G48" s="162">
        <f>'Calcul prévi'!H435</f>
        <v>0</v>
      </c>
      <c r="H48" s="162">
        <f>'Calcul prévi'!I435</f>
        <v>0</v>
      </c>
      <c r="I48" s="162">
        <f>'Calcul prévi'!J435</f>
        <v>0</v>
      </c>
      <c r="J48" s="162">
        <f>'Calcul prévi'!K435</f>
        <v>0</v>
      </c>
      <c r="K48" s="162">
        <f>'Calcul prévi'!L435</f>
        <v>0</v>
      </c>
      <c r="L48" s="162">
        <f>'Calcul prévi'!M435</f>
        <v>0</v>
      </c>
      <c r="M48" s="162">
        <f>'Calcul prévi'!N435</f>
        <v>0</v>
      </c>
      <c r="N48" s="163">
        <f t="shared" si="17"/>
        <v>0</v>
      </c>
    </row>
    <row r="49" spans="1:14" x14ac:dyDescent="0.25">
      <c r="A49" s="156" t="s">
        <v>293</v>
      </c>
      <c r="B49" s="162">
        <f>IF('Calcul prévi'!C64&gt;0,'Calcul prévi'!C64,0)</f>
        <v>0</v>
      </c>
      <c r="C49" s="162">
        <f>IF('Calcul prévi'!D64&gt;0,'Calcul prévi'!D64,0)</f>
        <v>0</v>
      </c>
      <c r="D49" s="162">
        <f>IF('Calcul prévi'!E64&gt;0,'Calcul prévi'!E64,0)</f>
        <v>0</v>
      </c>
      <c r="E49" s="162">
        <f>IF('Calcul prévi'!F64&gt;0,'Calcul prévi'!F64,0)</f>
        <v>0</v>
      </c>
      <c r="F49" s="162">
        <f>IF('Calcul prévi'!G64&gt;0,'Calcul prévi'!G64,0)</f>
        <v>0</v>
      </c>
      <c r="G49" s="162">
        <f>IF('Calcul prévi'!H64&gt;0,'Calcul prévi'!H64,0)</f>
        <v>0</v>
      </c>
      <c r="H49" s="162">
        <f>IF('Calcul prévi'!I64&gt;0,'Calcul prévi'!I64,0)</f>
        <v>0</v>
      </c>
      <c r="I49" s="162">
        <f>IF('Calcul prévi'!J64&gt;0,'Calcul prévi'!J64,0)</f>
        <v>0</v>
      </c>
      <c r="J49" s="162">
        <f>IF('Calcul prévi'!K64&gt;0,'Calcul prévi'!K64,0)</f>
        <v>0</v>
      </c>
      <c r="K49" s="162">
        <f>IF('Calcul prévi'!L64&gt;0,'Calcul prévi'!L64,0)</f>
        <v>0</v>
      </c>
      <c r="L49" s="162">
        <f>IF('Calcul prévi'!M64&gt;0,'Calcul prévi'!M64,0)</f>
        <v>0</v>
      </c>
      <c r="M49" s="162">
        <f>IF('Calcul prévi'!N64&gt;0,'Calcul prévi'!N64,0)</f>
        <v>0</v>
      </c>
      <c r="N49" s="163">
        <f t="shared" si="17"/>
        <v>0</v>
      </c>
    </row>
    <row r="50" spans="1:14" x14ac:dyDescent="0.25">
      <c r="A50" s="156" t="s">
        <v>41</v>
      </c>
      <c r="B50" s="162">
        <v>0</v>
      </c>
      <c r="C50" s="162">
        <v>0</v>
      </c>
      <c r="D50" s="162">
        <v>0</v>
      </c>
      <c r="E50" s="162">
        <f>'Calcul prévi'!H574</f>
        <v>0</v>
      </c>
      <c r="F50" s="162">
        <v>0</v>
      </c>
      <c r="G50" s="162">
        <f>'Calcul prévi'!I574</f>
        <v>0</v>
      </c>
      <c r="H50" s="162">
        <v>0</v>
      </c>
      <c r="I50" s="162">
        <v>0</v>
      </c>
      <c r="J50" s="162">
        <f>'Calcul prévi'!J574</f>
        <v>0</v>
      </c>
      <c r="K50" s="162">
        <v>0</v>
      </c>
      <c r="L50" s="162">
        <v>0</v>
      </c>
      <c r="M50" s="162">
        <f>'Calcul prévi'!K574</f>
        <v>0</v>
      </c>
      <c r="N50" s="163">
        <f t="shared" si="17"/>
        <v>0</v>
      </c>
    </row>
    <row r="51" spans="1:14" x14ac:dyDescent="0.25">
      <c r="A51" s="156" t="s">
        <v>42</v>
      </c>
      <c r="B51" s="162">
        <v>0</v>
      </c>
      <c r="C51" s="162">
        <v>0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f>+'Calcul prévi'!D568</f>
        <v>0</v>
      </c>
      <c r="N51" s="163">
        <f t="shared" si="17"/>
        <v>0</v>
      </c>
    </row>
    <row r="52" spans="1:14" x14ac:dyDescent="0.25">
      <c r="A52" s="156" t="s">
        <v>44</v>
      </c>
      <c r="B52" s="162">
        <f>Financements!C28</f>
        <v>0</v>
      </c>
      <c r="C52" s="162">
        <f>Financements!D28</f>
        <v>0</v>
      </c>
      <c r="D52" s="162">
        <f>Financements!E28</f>
        <v>0</v>
      </c>
      <c r="E52" s="162">
        <f>Financements!F28</f>
        <v>0</v>
      </c>
      <c r="F52" s="162">
        <f>Financements!G28</f>
        <v>0</v>
      </c>
      <c r="G52" s="162">
        <f>Financements!H28</f>
        <v>0</v>
      </c>
      <c r="H52" s="162">
        <f>Financements!I28</f>
        <v>0</v>
      </c>
      <c r="I52" s="162">
        <f>Financements!J28</f>
        <v>0</v>
      </c>
      <c r="J52" s="162">
        <f>Financements!K28</f>
        <v>0</v>
      </c>
      <c r="K52" s="162">
        <f>Financements!L28</f>
        <v>0</v>
      </c>
      <c r="L52" s="162">
        <f>Financements!M28</f>
        <v>0</v>
      </c>
      <c r="M52" s="162">
        <f>Financements!N28</f>
        <v>0</v>
      </c>
      <c r="N52" s="163">
        <f t="shared" si="17"/>
        <v>0</v>
      </c>
    </row>
    <row r="53" spans="1:14" x14ac:dyDescent="0.25">
      <c r="A53" s="156" t="s">
        <v>43</v>
      </c>
      <c r="B53" s="162">
        <f>'Calcul prévi'!F244+'Calcul prévi'!F283+'Calcul prévi'!F322</f>
        <v>0</v>
      </c>
      <c r="C53" s="162">
        <f>'Calcul prévi'!F323+'Calcul prévi'!F284+'Calcul prévi'!F245</f>
        <v>0</v>
      </c>
      <c r="D53" s="162">
        <f>'Calcul prévi'!F246+'Calcul prévi'!F285+'Calcul prévi'!F324</f>
        <v>0</v>
      </c>
      <c r="E53" s="162">
        <f>'Calcul prévi'!F325+'Calcul prévi'!F286+'Calcul prévi'!F247</f>
        <v>0</v>
      </c>
      <c r="F53" s="162">
        <f>'Calcul prévi'!F248+'Calcul prévi'!F287+'Calcul prévi'!F326</f>
        <v>0</v>
      </c>
      <c r="G53" s="162">
        <f>'Calcul prévi'!F327+'Calcul prévi'!F288+'Calcul prévi'!F249</f>
        <v>0</v>
      </c>
      <c r="H53" s="162">
        <f>'Calcul prévi'!F250+'Calcul prévi'!F289+'Calcul prévi'!F328</f>
        <v>0</v>
      </c>
      <c r="I53" s="162">
        <f>'Calcul prévi'!F329+'Calcul prévi'!F290+'Calcul prévi'!F251</f>
        <v>0</v>
      </c>
      <c r="J53" s="162">
        <f>'Calcul prévi'!F252+'Calcul prévi'!F291+'Calcul prévi'!F330</f>
        <v>0</v>
      </c>
      <c r="K53" s="162">
        <f>'Calcul prévi'!F331+'Calcul prévi'!F292+'Calcul prévi'!F253</f>
        <v>0</v>
      </c>
      <c r="L53" s="162">
        <f>'Calcul prévi'!F254+'Calcul prévi'!F293+'Calcul prévi'!F332</f>
        <v>0</v>
      </c>
      <c r="M53" s="162">
        <f>'Calcul prévi'!F333+'Calcul prévi'!F294+'Calcul prévi'!F255</f>
        <v>0</v>
      </c>
      <c r="N53" s="163">
        <f t="shared" si="17"/>
        <v>0</v>
      </c>
    </row>
    <row r="54" spans="1:14" x14ac:dyDescent="0.25">
      <c r="A54" s="156" t="s">
        <v>441</v>
      </c>
      <c r="B54" s="162">
        <f>'Calcul prévi'!C595</f>
        <v>0</v>
      </c>
      <c r="C54" s="162">
        <f>'Calcul prévi'!D595</f>
        <v>0</v>
      </c>
      <c r="D54" s="162">
        <f>'Calcul prévi'!E595</f>
        <v>0</v>
      </c>
      <c r="E54" s="162">
        <f>'Calcul prévi'!F595</f>
        <v>0</v>
      </c>
      <c r="F54" s="162">
        <f>'Calcul prévi'!G595</f>
        <v>0</v>
      </c>
      <c r="G54" s="162">
        <f>'Calcul prévi'!H595</f>
        <v>0</v>
      </c>
      <c r="H54" s="162">
        <f>'Calcul prévi'!I595</f>
        <v>0</v>
      </c>
      <c r="I54" s="162">
        <f>'Calcul prévi'!J595</f>
        <v>0</v>
      </c>
      <c r="J54" s="162">
        <f>'Calcul prévi'!K595</f>
        <v>0</v>
      </c>
      <c r="K54" s="162">
        <f>'Calcul prévi'!L595</f>
        <v>0</v>
      </c>
      <c r="L54" s="162">
        <f>'Calcul prévi'!M595</f>
        <v>0</v>
      </c>
      <c r="M54" s="162">
        <f>'Calcul prévi'!N595</f>
        <v>0</v>
      </c>
      <c r="N54" s="163">
        <f t="shared" si="17"/>
        <v>0</v>
      </c>
    </row>
    <row r="55" spans="1:14" x14ac:dyDescent="0.25">
      <c r="A55" s="153" t="s">
        <v>47</v>
      </c>
      <c r="B55" s="165">
        <f>SUM(B42:B54)</f>
        <v>0</v>
      </c>
      <c r="C55" s="165">
        <f t="shared" ref="C55" si="18">SUM(C42:C54)</f>
        <v>0</v>
      </c>
      <c r="D55" s="165">
        <f t="shared" ref="D55" si="19">SUM(D42:D54)</f>
        <v>0</v>
      </c>
      <c r="E55" s="165">
        <f t="shared" ref="E55" si="20">SUM(E42:E54)</f>
        <v>0</v>
      </c>
      <c r="F55" s="165">
        <f t="shared" ref="F55" si="21">SUM(F42:F54)</f>
        <v>0</v>
      </c>
      <c r="G55" s="165">
        <f t="shared" ref="G55" si="22">SUM(G42:G54)</f>
        <v>0</v>
      </c>
      <c r="H55" s="165">
        <f t="shared" ref="H55" si="23">SUM(H42:H54)</f>
        <v>0</v>
      </c>
      <c r="I55" s="165">
        <f t="shared" ref="I55" si="24">SUM(I42:I54)</f>
        <v>0</v>
      </c>
      <c r="J55" s="165">
        <f t="shared" ref="J55" si="25">SUM(J42:J54)</f>
        <v>0</v>
      </c>
      <c r="K55" s="165">
        <f t="shared" ref="K55" si="26">SUM(K42:K54)</f>
        <v>0</v>
      </c>
      <c r="L55" s="165">
        <f t="shared" ref="L55" si="27">SUM(L42:L54)</f>
        <v>0</v>
      </c>
      <c r="M55" s="165">
        <f t="shared" ref="M55" si="28">SUM(M42:M54)</f>
        <v>0</v>
      </c>
      <c r="N55" s="163">
        <f t="shared" si="17"/>
        <v>0</v>
      </c>
    </row>
    <row r="56" spans="1:14" x14ac:dyDescent="0.25">
      <c r="A56" s="160" t="s">
        <v>45</v>
      </c>
      <c r="B56" s="166">
        <f>B40-B55</f>
        <v>0</v>
      </c>
      <c r="C56" s="166">
        <f t="shared" ref="C56" si="29">C40-C55</f>
        <v>0</v>
      </c>
      <c r="D56" s="166">
        <f t="shared" ref="D56" si="30">D40-D55</f>
        <v>0</v>
      </c>
      <c r="E56" s="166">
        <f t="shared" ref="E56" si="31">E40-E55</f>
        <v>0</v>
      </c>
      <c r="F56" s="166">
        <f t="shared" ref="F56" si="32">F40-F55</f>
        <v>0</v>
      </c>
      <c r="G56" s="166">
        <f t="shared" ref="G56" si="33">G40-G55</f>
        <v>0</v>
      </c>
      <c r="H56" s="166">
        <f t="shared" ref="H56" si="34">H40-H55</f>
        <v>0</v>
      </c>
      <c r="I56" s="166">
        <f t="shared" ref="I56" si="35">I40-I55</f>
        <v>0</v>
      </c>
      <c r="J56" s="166">
        <f t="shared" ref="J56" si="36">J40-J55</f>
        <v>0</v>
      </c>
      <c r="K56" s="166">
        <f t="shared" ref="K56" si="37">K40-K55</f>
        <v>0</v>
      </c>
      <c r="L56" s="166">
        <f t="shared" ref="L56" si="38">L40-L55</f>
        <v>0</v>
      </c>
      <c r="M56" s="166">
        <f t="shared" ref="M56" si="39">M40-M55</f>
        <v>0</v>
      </c>
      <c r="N56" s="167"/>
    </row>
    <row r="57" spans="1:14" x14ac:dyDescent="0.25">
      <c r="A57" s="151" t="s">
        <v>46</v>
      </c>
      <c r="B57" s="168">
        <f>M29+B40-B55</f>
        <v>0</v>
      </c>
      <c r="C57" s="168">
        <f>B57+C40-C55</f>
        <v>0</v>
      </c>
      <c r="D57" s="168">
        <f t="shared" ref="D57:M57" si="40">C57+D40-D55</f>
        <v>0</v>
      </c>
      <c r="E57" s="168">
        <f t="shared" si="40"/>
        <v>0</v>
      </c>
      <c r="F57" s="168">
        <f t="shared" si="40"/>
        <v>0</v>
      </c>
      <c r="G57" s="168">
        <f t="shared" si="40"/>
        <v>0</v>
      </c>
      <c r="H57" s="168">
        <f t="shared" si="40"/>
        <v>0</v>
      </c>
      <c r="I57" s="168">
        <f t="shared" si="40"/>
        <v>0</v>
      </c>
      <c r="J57" s="168">
        <f t="shared" si="40"/>
        <v>0</v>
      </c>
      <c r="K57" s="168">
        <f t="shared" si="40"/>
        <v>0</v>
      </c>
      <c r="L57" s="168">
        <f t="shared" si="40"/>
        <v>0</v>
      </c>
      <c r="M57" s="245">
        <f t="shared" si="40"/>
        <v>0</v>
      </c>
      <c r="N57" s="168"/>
    </row>
    <row r="58" spans="1:14" ht="22.5" customHeight="1" x14ac:dyDescent="0.25"/>
    <row r="59" spans="1:14" ht="18.75" x14ac:dyDescent="0.3">
      <c r="A59" s="157" t="s">
        <v>148</v>
      </c>
      <c r="B59" s="100" t="s">
        <v>149</v>
      </c>
      <c r="C59" s="100" t="s">
        <v>150</v>
      </c>
      <c r="D59" s="100" t="s">
        <v>151</v>
      </c>
      <c r="E59" s="100" t="s">
        <v>152</v>
      </c>
      <c r="F59" s="100" t="s">
        <v>153</v>
      </c>
      <c r="G59" s="100" t="s">
        <v>154</v>
      </c>
      <c r="H59" s="100" t="s">
        <v>155</v>
      </c>
      <c r="I59" s="100" t="s">
        <v>156</v>
      </c>
      <c r="J59" s="100" t="s">
        <v>157</v>
      </c>
      <c r="K59" s="100" t="s">
        <v>158</v>
      </c>
      <c r="L59" s="100" t="s">
        <v>159</v>
      </c>
      <c r="M59" s="100" t="s">
        <v>160</v>
      </c>
      <c r="N59" s="3"/>
    </row>
    <row r="60" spans="1:14" x14ac:dyDescent="0.25">
      <c r="A60" s="150" t="s">
        <v>34</v>
      </c>
      <c r="B60" s="448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50"/>
      <c r="N60" s="152" t="s">
        <v>20</v>
      </c>
    </row>
    <row r="61" spans="1:14" x14ac:dyDescent="0.25">
      <c r="A61" s="155" t="s">
        <v>35</v>
      </c>
      <c r="B61" s="162">
        <f>'Calcul prévi'!C99</f>
        <v>0</v>
      </c>
      <c r="C61" s="162">
        <f>'Calcul prévi'!D99</f>
        <v>0</v>
      </c>
      <c r="D61" s="162">
        <f>'Calcul prévi'!E99</f>
        <v>0</v>
      </c>
      <c r="E61" s="162">
        <f>'Calcul prévi'!F99</f>
        <v>0</v>
      </c>
      <c r="F61" s="162">
        <f>'Calcul prévi'!G99</f>
        <v>0</v>
      </c>
      <c r="G61" s="162">
        <f>'Calcul prévi'!H99</f>
        <v>0</v>
      </c>
      <c r="H61" s="162">
        <f>'Calcul prévi'!I99</f>
        <v>0</v>
      </c>
      <c r="I61" s="162">
        <f>'Calcul prévi'!J99</f>
        <v>0</v>
      </c>
      <c r="J61" s="162">
        <f>'Calcul prévi'!K99</f>
        <v>0</v>
      </c>
      <c r="K61" s="162">
        <f>'Calcul prévi'!L99</f>
        <v>0</v>
      </c>
      <c r="L61" s="162">
        <f>'Calcul prévi'!M99</f>
        <v>0</v>
      </c>
      <c r="M61" s="162">
        <f>'Calcul prévi'!N99</f>
        <v>0</v>
      </c>
      <c r="N61" s="163">
        <f>SUM(B61:M61)</f>
        <v>0</v>
      </c>
    </row>
    <row r="62" spans="1:14" x14ac:dyDescent="0.25">
      <c r="A62" s="155" t="s">
        <v>36</v>
      </c>
      <c r="B62" s="162">
        <f>Financements!C32</f>
        <v>0</v>
      </c>
      <c r="C62" s="162">
        <f>Financements!D32</f>
        <v>0</v>
      </c>
      <c r="D62" s="162">
        <f>Financements!E32</f>
        <v>0</v>
      </c>
      <c r="E62" s="162">
        <f>Financements!F32</f>
        <v>0</v>
      </c>
      <c r="F62" s="162">
        <f>Financements!G32</f>
        <v>0</v>
      </c>
      <c r="G62" s="162">
        <f>Financements!H32</f>
        <v>0</v>
      </c>
      <c r="H62" s="162">
        <f>Financements!I32</f>
        <v>0</v>
      </c>
      <c r="I62" s="162">
        <f>Financements!J32</f>
        <v>0</v>
      </c>
      <c r="J62" s="162">
        <f>Financements!K32</f>
        <v>0</v>
      </c>
      <c r="K62" s="162">
        <f>Financements!L32</f>
        <v>0</v>
      </c>
      <c r="L62" s="162">
        <f>Financements!M32</f>
        <v>0</v>
      </c>
      <c r="M62" s="162">
        <f>Financements!N32</f>
        <v>0</v>
      </c>
      <c r="N62" s="163">
        <f t="shared" ref="N62:N69" si="41">SUM(B62:M62)</f>
        <v>0</v>
      </c>
    </row>
    <row r="63" spans="1:14" x14ac:dyDescent="0.25">
      <c r="A63" s="155" t="s">
        <v>38</v>
      </c>
      <c r="B63" s="162">
        <f>Financements!C33</f>
        <v>0</v>
      </c>
      <c r="C63" s="162">
        <f>Financements!D33</f>
        <v>0</v>
      </c>
      <c r="D63" s="162">
        <f>Financements!E33</f>
        <v>0</v>
      </c>
      <c r="E63" s="162">
        <f>Financements!F33</f>
        <v>0</v>
      </c>
      <c r="F63" s="162">
        <f>Financements!G33</f>
        <v>0</v>
      </c>
      <c r="G63" s="162">
        <f>Financements!H33</f>
        <v>0</v>
      </c>
      <c r="H63" s="162">
        <f>Financements!I33</f>
        <v>0</v>
      </c>
      <c r="I63" s="162">
        <f>Financements!J33</f>
        <v>0</v>
      </c>
      <c r="J63" s="162">
        <f>Financements!K33</f>
        <v>0</v>
      </c>
      <c r="K63" s="162">
        <f>Financements!L33</f>
        <v>0</v>
      </c>
      <c r="L63" s="162">
        <f>Financements!M33</f>
        <v>0</v>
      </c>
      <c r="M63" s="162">
        <f>Financements!N33</f>
        <v>0</v>
      </c>
      <c r="N63" s="163">
        <f t="shared" si="41"/>
        <v>0</v>
      </c>
    </row>
    <row r="64" spans="1:14" x14ac:dyDescent="0.25">
      <c r="A64" s="155" t="s">
        <v>295</v>
      </c>
      <c r="B64" s="162">
        <f>'Calcul prévi'!D334+'Calcul prévi'!D295+'Calcul prévi'!D256</f>
        <v>0</v>
      </c>
      <c r="C64" s="162">
        <f>'Calcul prévi'!D335+'Calcul prévi'!D296+'Calcul prévi'!D257</f>
        <v>0</v>
      </c>
      <c r="D64" s="162">
        <f>'Calcul prévi'!D258+'Calcul prévi'!D273+'Calcul prévi'!D297</f>
        <v>0</v>
      </c>
      <c r="E64" s="162">
        <f>'Calcul prévi'!D298+'Calcul prévi'!D259+'Calcul prévi'!D337</f>
        <v>0</v>
      </c>
      <c r="F64" s="162">
        <f>'Calcul prévi'!D338+'Calcul prévi'!D299+'Calcul prévi'!D260</f>
        <v>0</v>
      </c>
      <c r="G64" s="162">
        <f>'Calcul prévi'!D261+'Calcul prévi'!D300+'Calcul prévi'!D339</f>
        <v>0</v>
      </c>
      <c r="H64" s="162">
        <f>'Calcul prévi'!D340+'Calcul prévi'!D301+'Calcul prévi'!D262</f>
        <v>0</v>
      </c>
      <c r="I64" s="164">
        <f>'Calcul prévi'!D341+'Calcul prévi'!D302+'Calcul prévi'!D263</f>
        <v>0</v>
      </c>
      <c r="J64" s="162">
        <f>'Calcul prévi'!D303+'Calcul prévi'!D264+'Calcul prévi'!D342</f>
        <v>0</v>
      </c>
      <c r="K64" s="162">
        <f>'Calcul prévi'!D265+'Calcul prévi'!D304+'Calcul prévi'!D343</f>
        <v>0</v>
      </c>
      <c r="L64" s="162">
        <f>'Calcul prévi'!D344+'Calcul prévi'!D305+'Calcul prévi'!D266</f>
        <v>0</v>
      </c>
      <c r="M64" s="162">
        <f>'Calcul prévi'!D267+'Calcul prévi'!D306+'Calcul prévi'!D345</f>
        <v>0</v>
      </c>
      <c r="N64" s="163">
        <f t="shared" si="41"/>
        <v>0</v>
      </c>
    </row>
    <row r="65" spans="1:14" x14ac:dyDescent="0.25">
      <c r="A65" s="155" t="s">
        <v>350</v>
      </c>
      <c r="B65" s="162">
        <f>'Calcul prévi'!C405</f>
        <v>0</v>
      </c>
      <c r="C65" s="162">
        <f>'Calcul prévi'!D405</f>
        <v>0</v>
      </c>
      <c r="D65" s="162">
        <f>'Calcul prévi'!E405</f>
        <v>0</v>
      </c>
      <c r="E65" s="162">
        <f>'Calcul prévi'!F405</f>
        <v>0</v>
      </c>
      <c r="F65" s="162">
        <f>'Calcul prévi'!G405</f>
        <v>0</v>
      </c>
      <c r="G65" s="162">
        <f>'Calcul prévi'!H405</f>
        <v>0</v>
      </c>
      <c r="H65" s="162">
        <f>'Calcul prévi'!I405</f>
        <v>0</v>
      </c>
      <c r="I65" s="162">
        <f>'Calcul prévi'!J405</f>
        <v>0</v>
      </c>
      <c r="J65" s="162">
        <f>'Calcul prévi'!K405</f>
        <v>0</v>
      </c>
      <c r="K65" s="162">
        <f>'Calcul prévi'!L405</f>
        <v>0</v>
      </c>
      <c r="L65" s="162">
        <f>'Calcul prévi'!M405</f>
        <v>0</v>
      </c>
      <c r="M65" s="162">
        <f>'Calcul prévi'!N405</f>
        <v>0</v>
      </c>
      <c r="N65" s="163">
        <f t="shared" si="41"/>
        <v>0</v>
      </c>
    </row>
    <row r="66" spans="1:14" x14ac:dyDescent="0.25">
      <c r="A66" s="155" t="s">
        <v>306</v>
      </c>
      <c r="B66" s="162">
        <f>IF('Calcul prévi'!C83&lt;0,-'Calcul prévi'!C83,0)</f>
        <v>0</v>
      </c>
      <c r="C66" s="162">
        <f>IF('Calcul prévi'!D83&lt;0,-'Calcul prévi'!D83,0)</f>
        <v>0</v>
      </c>
      <c r="D66" s="162">
        <f>IF('Calcul prévi'!E83&lt;0,-'Calcul prévi'!E83,0)</f>
        <v>0</v>
      </c>
      <c r="E66" s="162">
        <f>IF('Calcul prévi'!F83&lt;0,-'Calcul prévi'!F83,0)</f>
        <v>0</v>
      </c>
      <c r="F66" s="162">
        <f>IF('Calcul prévi'!G83&lt;0,-'Calcul prévi'!G83,0)</f>
        <v>0</v>
      </c>
      <c r="G66" s="162">
        <f>IF('Calcul prévi'!H83&lt;0,-'Calcul prévi'!H83,0)</f>
        <v>0</v>
      </c>
      <c r="H66" s="162">
        <f>IF('Calcul prévi'!I83&lt;0,-'Calcul prévi'!I83,0)</f>
        <v>0</v>
      </c>
      <c r="I66" s="162">
        <f>IF('Calcul prévi'!J83&lt;0,-'Calcul prévi'!J83,0)</f>
        <v>0</v>
      </c>
      <c r="J66" s="162">
        <f>IF('Calcul prévi'!K83&lt;0,-'Calcul prévi'!K83,0)</f>
        <v>0</v>
      </c>
      <c r="K66" s="162">
        <f>IF('Calcul prévi'!L83&lt;0,-'Calcul prévi'!L83,0)</f>
        <v>0</v>
      </c>
      <c r="L66" s="162">
        <f>IF('Calcul prévi'!M83&lt;0,-'Calcul prévi'!M83,0)</f>
        <v>0</v>
      </c>
      <c r="M66" s="162">
        <f>IF('Calcul prévi'!N83&lt;0,-'Calcul prévi'!N83,0)</f>
        <v>0</v>
      </c>
      <c r="N66" s="163">
        <f t="shared" si="41"/>
        <v>0</v>
      </c>
    </row>
    <row r="67" spans="1:14" x14ac:dyDescent="0.25">
      <c r="A67" s="155" t="s">
        <v>709</v>
      </c>
      <c r="B67" s="162">
        <v>0</v>
      </c>
      <c r="C67" s="162">
        <v>0</v>
      </c>
      <c r="D67" s="162">
        <v>0</v>
      </c>
      <c r="E67" s="162">
        <f>+'Calcul prévi'!I578</f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62">
        <v>0</v>
      </c>
      <c r="M67" s="162">
        <v>0</v>
      </c>
      <c r="N67" s="163">
        <f t="shared" si="41"/>
        <v>0</v>
      </c>
    </row>
    <row r="68" spans="1:14" x14ac:dyDescent="0.25">
      <c r="A68" s="155" t="s">
        <v>454</v>
      </c>
      <c r="B68" s="162">
        <f>'Calcul prévi'!C629</f>
        <v>0</v>
      </c>
      <c r="C68" s="162">
        <f>'Calcul prévi'!D629</f>
        <v>0</v>
      </c>
      <c r="D68" s="162">
        <f>'Calcul prévi'!E629</f>
        <v>0</v>
      </c>
      <c r="E68" s="162">
        <f>'Calcul prévi'!F629</f>
        <v>0</v>
      </c>
      <c r="F68" s="162">
        <f>'Calcul prévi'!G629</f>
        <v>0</v>
      </c>
      <c r="G68" s="162">
        <f>'Calcul prévi'!H629</f>
        <v>0</v>
      </c>
      <c r="H68" s="162">
        <f>'Calcul prévi'!I629</f>
        <v>0</v>
      </c>
      <c r="I68" s="162">
        <f>'Calcul prévi'!J629</f>
        <v>0</v>
      </c>
      <c r="J68" s="162">
        <f>'Calcul prévi'!K629</f>
        <v>0</v>
      </c>
      <c r="K68" s="162">
        <f>'Calcul prévi'!L629</f>
        <v>0</v>
      </c>
      <c r="L68" s="162">
        <f>'Calcul prévi'!M629</f>
        <v>0</v>
      </c>
      <c r="M68" s="162">
        <f>'Calcul prévi'!N629</f>
        <v>0</v>
      </c>
      <c r="N68" s="163">
        <f t="shared" si="41"/>
        <v>0</v>
      </c>
    </row>
    <row r="69" spans="1:14" x14ac:dyDescent="0.25">
      <c r="A69" s="153" t="s">
        <v>39</v>
      </c>
      <c r="B69" s="165">
        <f>SUM(B61:B68)</f>
        <v>0</v>
      </c>
      <c r="C69" s="165">
        <f t="shared" ref="C69" si="42">SUM(C61:C68)</f>
        <v>0</v>
      </c>
      <c r="D69" s="165">
        <f t="shared" ref="D69" si="43">SUM(D61:D68)</f>
        <v>0</v>
      </c>
      <c r="E69" s="165">
        <f t="shared" ref="E69" si="44">SUM(E61:E68)</f>
        <v>0</v>
      </c>
      <c r="F69" s="165">
        <f t="shared" ref="F69" si="45">SUM(F61:F68)</f>
        <v>0</v>
      </c>
      <c r="G69" s="165">
        <f t="shared" ref="G69" si="46">SUM(G61:G68)</f>
        <v>0</v>
      </c>
      <c r="H69" s="165">
        <f t="shared" ref="H69" si="47">SUM(H61:H68)</f>
        <v>0</v>
      </c>
      <c r="I69" s="165">
        <f t="shared" ref="I69" si="48">SUM(I61:I68)</f>
        <v>0</v>
      </c>
      <c r="J69" s="165">
        <f t="shared" ref="J69" si="49">SUM(J61:J68)</f>
        <v>0</v>
      </c>
      <c r="K69" s="165">
        <f t="shared" ref="K69" si="50">SUM(K61:K68)</f>
        <v>0</v>
      </c>
      <c r="L69" s="165">
        <f t="shared" ref="L69" si="51">SUM(L61:L68)</f>
        <v>0</v>
      </c>
      <c r="M69" s="165">
        <f t="shared" ref="M69" si="52">SUM(M61:M68)</f>
        <v>0</v>
      </c>
      <c r="N69" s="163">
        <f t="shared" si="41"/>
        <v>0</v>
      </c>
    </row>
    <row r="70" spans="1:14" x14ac:dyDescent="0.25">
      <c r="A70" s="154" t="s">
        <v>291</v>
      </c>
      <c r="B70" s="448"/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50"/>
      <c r="N70" s="151" t="s">
        <v>20</v>
      </c>
    </row>
    <row r="71" spans="1:14" x14ac:dyDescent="0.25">
      <c r="A71" s="156" t="s">
        <v>294</v>
      </c>
      <c r="B71" s="162">
        <f>'Calcul prévi'!H528</f>
        <v>0</v>
      </c>
      <c r="C71" s="162">
        <f>'Calcul prévi'!I528</f>
        <v>0</v>
      </c>
      <c r="D71" s="162">
        <f>'Calcul prévi'!J528</f>
        <v>0</v>
      </c>
      <c r="E71" s="162">
        <f>'Calcul prévi'!K528</f>
        <v>0</v>
      </c>
      <c r="F71" s="162">
        <f>'Calcul prévi'!L528</f>
        <v>0</v>
      </c>
      <c r="G71" s="162">
        <f>'Calcul prévi'!M528</f>
        <v>0</v>
      </c>
      <c r="H71" s="162">
        <f>'Calcul prévi'!N528</f>
        <v>0</v>
      </c>
      <c r="I71" s="162">
        <f>'Calcul prévi'!O528</f>
        <v>0</v>
      </c>
      <c r="J71" s="162">
        <f>'Calcul prévi'!P528</f>
        <v>0</v>
      </c>
      <c r="K71" s="162">
        <f>'Calcul prévi'!Q528</f>
        <v>0</v>
      </c>
      <c r="L71" s="162">
        <f>'Calcul prévi'!R528</f>
        <v>0</v>
      </c>
      <c r="M71" s="162">
        <f>'Calcul prévi'!S528</f>
        <v>0</v>
      </c>
      <c r="N71" s="163">
        <f t="shared" ref="N71:N84" si="53">SUM(B71:M71)</f>
        <v>0</v>
      </c>
    </row>
    <row r="72" spans="1:14" x14ac:dyDescent="0.25">
      <c r="A72" s="156" t="s">
        <v>231</v>
      </c>
      <c r="B72" s="162">
        <f>'Calcul prévi'!C113</f>
        <v>0</v>
      </c>
      <c r="C72" s="162">
        <f>'Calcul prévi'!D113</f>
        <v>0</v>
      </c>
      <c r="D72" s="162">
        <f>'Calcul prévi'!E113</f>
        <v>0</v>
      </c>
      <c r="E72" s="162">
        <f>'Calcul prévi'!F113</f>
        <v>0</v>
      </c>
      <c r="F72" s="162">
        <f>'Calcul prévi'!G113</f>
        <v>0</v>
      </c>
      <c r="G72" s="162">
        <f>'Calcul prévi'!H113</f>
        <v>0</v>
      </c>
      <c r="H72" s="162">
        <f>'Calcul prévi'!I113</f>
        <v>0</v>
      </c>
      <c r="I72" s="162">
        <f>'Calcul prévi'!J113</f>
        <v>0</v>
      </c>
      <c r="J72" s="162">
        <f>'Calcul prévi'!K113</f>
        <v>0</v>
      </c>
      <c r="K72" s="162">
        <f>'Calcul prévi'!L113</f>
        <v>0</v>
      </c>
      <c r="L72" s="162">
        <f>'Calcul prévi'!M113</f>
        <v>0</v>
      </c>
      <c r="M72" s="162">
        <f>'Calcul prévi'!N113</f>
        <v>0</v>
      </c>
      <c r="N72" s="163">
        <f t="shared" si="53"/>
        <v>0</v>
      </c>
    </row>
    <row r="73" spans="1:14" x14ac:dyDescent="0.25">
      <c r="A73" s="156" t="s">
        <v>244</v>
      </c>
      <c r="B73" s="162">
        <f>'Calcul prévi'!C224</f>
        <v>0</v>
      </c>
      <c r="C73" s="162">
        <f>'Calcul prévi'!D224</f>
        <v>0</v>
      </c>
      <c r="D73" s="162">
        <f>'Calcul prévi'!E224</f>
        <v>0</v>
      </c>
      <c r="E73" s="162">
        <f>'Calcul prévi'!F224</f>
        <v>0</v>
      </c>
      <c r="F73" s="162">
        <f>'Calcul prévi'!G224</f>
        <v>0</v>
      </c>
      <c r="G73" s="162">
        <f>'Calcul prévi'!H224</f>
        <v>0</v>
      </c>
      <c r="H73" s="162">
        <f>'Calcul prévi'!I224</f>
        <v>0</v>
      </c>
      <c r="I73" s="162">
        <f>'Calcul prévi'!J224</f>
        <v>0</v>
      </c>
      <c r="J73" s="162">
        <f>'Calcul prévi'!K224</f>
        <v>0</v>
      </c>
      <c r="K73" s="162">
        <f>'Calcul prévi'!L224</f>
        <v>0</v>
      </c>
      <c r="L73" s="162">
        <f>'Calcul prévi'!M224</f>
        <v>0</v>
      </c>
      <c r="M73" s="162">
        <f>'Calcul prévi'!N224</f>
        <v>0</v>
      </c>
      <c r="N73" s="163">
        <f t="shared" si="53"/>
        <v>0</v>
      </c>
    </row>
    <row r="74" spans="1:14" x14ac:dyDescent="0.25">
      <c r="A74" s="156" t="s">
        <v>351</v>
      </c>
      <c r="B74" s="162">
        <f>Salaires!C39</f>
        <v>0</v>
      </c>
      <c r="C74" s="162">
        <f>Salaires!D39</f>
        <v>0</v>
      </c>
      <c r="D74" s="162">
        <f>Salaires!E39</f>
        <v>0</v>
      </c>
      <c r="E74" s="162">
        <f>Salaires!F39</f>
        <v>0</v>
      </c>
      <c r="F74" s="162">
        <f>Salaires!G39</f>
        <v>0</v>
      </c>
      <c r="G74" s="162">
        <f>Salaires!H39</f>
        <v>0</v>
      </c>
      <c r="H74" s="162">
        <f>Salaires!I39</f>
        <v>0</v>
      </c>
      <c r="I74" s="162">
        <f>Salaires!J39</f>
        <v>0</v>
      </c>
      <c r="J74" s="162">
        <f>Salaires!K39</f>
        <v>0</v>
      </c>
      <c r="K74" s="162">
        <f>Salaires!L39</f>
        <v>0</v>
      </c>
      <c r="L74" s="162">
        <f>Salaires!M39</f>
        <v>0</v>
      </c>
      <c r="M74" s="162">
        <f>Salaires!N39</f>
        <v>0</v>
      </c>
      <c r="N74" s="163">
        <f t="shared" si="53"/>
        <v>0</v>
      </c>
    </row>
    <row r="75" spans="1:14" x14ac:dyDescent="0.25">
      <c r="A75" s="156" t="s">
        <v>174</v>
      </c>
      <c r="B75" s="158">
        <f>IF(Caractéristiques!$C$25="Régime général de la sécurité sociale",'Calcul prévi'!C412,IF(Caractéristiques!$C$25="Sécurité sociale des indépendants (RSI)",'Calcul prévi'!C404,0))</f>
        <v>0</v>
      </c>
      <c r="C75" s="158">
        <f>IF(Caractéristiques!$C$25="Régime général de la sécurité sociale",'Calcul prévi'!D412,IF(Caractéristiques!$C$25="Sécurité sociale des indépendants (RSI)",'Calcul prévi'!D404,0))</f>
        <v>0</v>
      </c>
      <c r="D75" s="158">
        <f>IF(Caractéristiques!$C$25="Régime général de la sécurité sociale",'Calcul prévi'!E412,IF(Caractéristiques!$C$25="Sécurité sociale des indépendants (RSI)",'Calcul prévi'!E404,0))</f>
        <v>0</v>
      </c>
      <c r="E75" s="158">
        <f>IF(Caractéristiques!$C$25="Régime général de la sécurité sociale",'Calcul prévi'!F412,IF(Caractéristiques!$C$25="Sécurité sociale des indépendants (RSI)",'Calcul prévi'!F404,0))</f>
        <v>0</v>
      </c>
      <c r="F75" s="158">
        <f>IF(Caractéristiques!$C$25="Régime général de la sécurité sociale",'Calcul prévi'!G412,IF(Caractéristiques!$C$25="Sécurité sociale des indépendants (RSI)",'Calcul prévi'!G404,0))</f>
        <v>0</v>
      </c>
      <c r="G75" s="158">
        <f>IF(Caractéristiques!$C$25="Régime général de la sécurité sociale",'Calcul prévi'!H412,IF(Caractéristiques!$C$25="Sécurité sociale des indépendants (RSI)",'Calcul prévi'!H404,0))</f>
        <v>0</v>
      </c>
      <c r="H75" s="158">
        <f>IF(Caractéristiques!$C$25="Régime général de la sécurité sociale",'Calcul prévi'!I412,IF(Caractéristiques!$C$25="Sécurité sociale des indépendants (RSI)",'Calcul prévi'!I404,0))</f>
        <v>0</v>
      </c>
      <c r="I75" s="158">
        <f>IF(Caractéristiques!$C$25="Régime général de la sécurité sociale",'Calcul prévi'!J412,IF(Caractéristiques!$C$25="Sécurité sociale des indépendants (RSI)",'Calcul prévi'!J404,0))</f>
        <v>0</v>
      </c>
      <c r="J75" s="158">
        <f>IF(Caractéristiques!$C$25="Régime général de la sécurité sociale",'Calcul prévi'!K412,IF(Caractéristiques!$C$25="Sécurité sociale des indépendants (RSI)",'Calcul prévi'!K404,0))</f>
        <v>0</v>
      </c>
      <c r="K75" s="158">
        <f>IF(Caractéristiques!$C$25="Régime général de la sécurité sociale",'Calcul prévi'!L412,IF(Caractéristiques!$C$25="Sécurité sociale des indépendants (RSI)",'Calcul prévi'!L404,0))</f>
        <v>0</v>
      </c>
      <c r="L75" s="158">
        <f>IF(Caractéristiques!$C$25="Régime général de la sécurité sociale",'Calcul prévi'!M412,IF(Caractéristiques!$C$25="Sécurité sociale des indépendants (RSI)",'Calcul prévi'!M404,0))</f>
        <v>0</v>
      </c>
      <c r="M75" s="158">
        <f>IF(Caractéristiques!$C$25="Régime général de la sécurité sociale",'Calcul prévi'!N412,IF(Caractéristiques!$C$25="Sécurité sociale des indépendants (RSI)",'Calcul prévi'!N404,0))</f>
        <v>0</v>
      </c>
      <c r="N75" s="163">
        <f t="shared" si="53"/>
        <v>0</v>
      </c>
    </row>
    <row r="76" spans="1:14" x14ac:dyDescent="0.25">
      <c r="A76" s="156" t="s">
        <v>292</v>
      </c>
      <c r="B76" s="162">
        <f>'Calcul prévi'!C441</f>
        <v>0</v>
      </c>
      <c r="C76" s="162">
        <f>'Calcul prévi'!D441</f>
        <v>0</v>
      </c>
      <c r="D76" s="162">
        <f>'Calcul prévi'!E441</f>
        <v>0</v>
      </c>
      <c r="E76" s="162">
        <f>'Calcul prévi'!F441</f>
        <v>0</v>
      </c>
      <c r="F76" s="162">
        <f>'Calcul prévi'!G441</f>
        <v>0</v>
      </c>
      <c r="G76" s="162">
        <f>'Calcul prévi'!H441</f>
        <v>0</v>
      </c>
      <c r="H76" s="162">
        <f>'Calcul prévi'!I441</f>
        <v>0</v>
      </c>
      <c r="I76" s="162">
        <f>'Calcul prévi'!J441</f>
        <v>0</v>
      </c>
      <c r="J76" s="162">
        <f>'Calcul prévi'!K441</f>
        <v>0</v>
      </c>
      <c r="K76" s="162">
        <f>'Calcul prévi'!L441</f>
        <v>0</v>
      </c>
      <c r="L76" s="162">
        <f>'Calcul prévi'!M441</f>
        <v>0</v>
      </c>
      <c r="M76" s="162">
        <f>'Calcul prévi'!N441</f>
        <v>0</v>
      </c>
      <c r="N76" s="163">
        <f t="shared" si="53"/>
        <v>0</v>
      </c>
    </row>
    <row r="77" spans="1:14" x14ac:dyDescent="0.25">
      <c r="A77" s="156" t="s">
        <v>175</v>
      </c>
      <c r="B77" s="162">
        <f>'Calcul prévi'!C445</f>
        <v>0</v>
      </c>
      <c r="C77" s="162">
        <f>'Calcul prévi'!D445</f>
        <v>0</v>
      </c>
      <c r="D77" s="162">
        <f>'Calcul prévi'!E445</f>
        <v>0</v>
      </c>
      <c r="E77" s="162">
        <f>'Calcul prévi'!F445</f>
        <v>0</v>
      </c>
      <c r="F77" s="162">
        <f>'Calcul prévi'!G445</f>
        <v>0</v>
      </c>
      <c r="G77" s="162">
        <f>'Calcul prévi'!H445</f>
        <v>0</v>
      </c>
      <c r="H77" s="162">
        <f>'Calcul prévi'!I445</f>
        <v>0</v>
      </c>
      <c r="I77" s="162">
        <f>'Calcul prévi'!J445</f>
        <v>0</v>
      </c>
      <c r="J77" s="162">
        <f>'Calcul prévi'!K445</f>
        <v>0</v>
      </c>
      <c r="K77" s="162">
        <f>'Calcul prévi'!L445</f>
        <v>0</v>
      </c>
      <c r="L77" s="162">
        <f>'Calcul prévi'!M445</f>
        <v>0</v>
      </c>
      <c r="M77" s="162">
        <f>'Calcul prévi'!N445</f>
        <v>0</v>
      </c>
      <c r="N77" s="163">
        <f t="shared" si="53"/>
        <v>0</v>
      </c>
    </row>
    <row r="78" spans="1:14" x14ac:dyDescent="0.25">
      <c r="A78" s="156" t="s">
        <v>293</v>
      </c>
      <c r="B78" s="162">
        <f>IF('Calcul prévi'!C83&gt;0,'Calcul prévi'!C83,0)</f>
        <v>0</v>
      </c>
      <c r="C78" s="162">
        <f>IF('Calcul prévi'!D83&gt;0,'Calcul prévi'!D83,0)</f>
        <v>0</v>
      </c>
      <c r="D78" s="162">
        <f>IF('Calcul prévi'!E83&gt;0,'Calcul prévi'!E83,0)</f>
        <v>0</v>
      </c>
      <c r="E78" s="162">
        <f>IF('Calcul prévi'!F83&gt;0,'Calcul prévi'!F83,0)</f>
        <v>0</v>
      </c>
      <c r="F78" s="162">
        <f>IF('Calcul prévi'!G83&gt;0,'Calcul prévi'!G83,0)</f>
        <v>0</v>
      </c>
      <c r="G78" s="162">
        <f>IF('Calcul prévi'!H83&gt;0,'Calcul prévi'!H83,0)</f>
        <v>0</v>
      </c>
      <c r="H78" s="162">
        <f>IF('Calcul prévi'!I83&gt;0,'Calcul prévi'!I83,0)</f>
        <v>0</v>
      </c>
      <c r="I78" s="162">
        <f>IF('Calcul prévi'!J83&gt;0,'Calcul prévi'!J83,0)</f>
        <v>0</v>
      </c>
      <c r="J78" s="162">
        <f>IF('Calcul prévi'!K83&gt;0,'Calcul prévi'!K83,0)</f>
        <v>0</v>
      </c>
      <c r="K78" s="162">
        <f>IF('Calcul prévi'!L83&gt;0,'Calcul prévi'!L83,0)</f>
        <v>0</v>
      </c>
      <c r="L78" s="162">
        <f>IF('Calcul prévi'!M83&gt;0,'Calcul prévi'!M83,0)</f>
        <v>0</v>
      </c>
      <c r="M78" s="162">
        <f>IF('Calcul prévi'!N83&gt;0,'Calcul prévi'!N83,0)</f>
        <v>0</v>
      </c>
      <c r="N78" s="163">
        <f t="shared" si="53"/>
        <v>0</v>
      </c>
    </row>
    <row r="79" spans="1:14" x14ac:dyDescent="0.25">
      <c r="A79" s="156" t="s">
        <v>41</v>
      </c>
      <c r="B79" s="162">
        <v>0</v>
      </c>
      <c r="C79" s="162">
        <v>0</v>
      </c>
      <c r="D79" s="162">
        <f>'Calcul prévi'!H577</f>
        <v>0</v>
      </c>
      <c r="E79" s="162">
        <f>'Calcul prévi'!I577</f>
        <v>0</v>
      </c>
      <c r="F79" s="162">
        <v>0</v>
      </c>
      <c r="G79" s="162">
        <f>'Calcul prévi'!J577</f>
        <v>0</v>
      </c>
      <c r="H79" s="162">
        <v>0</v>
      </c>
      <c r="I79" s="162">
        <v>0</v>
      </c>
      <c r="J79" s="162">
        <f>'Calcul prévi'!K577</f>
        <v>0</v>
      </c>
      <c r="K79" s="162">
        <v>0</v>
      </c>
      <c r="L79" s="162">
        <v>0</v>
      </c>
      <c r="M79" s="162">
        <f>'Calcul prévi'!L577</f>
        <v>0</v>
      </c>
      <c r="N79" s="163">
        <f t="shared" si="53"/>
        <v>0</v>
      </c>
    </row>
    <row r="80" spans="1:14" x14ac:dyDescent="0.25">
      <c r="A80" s="156" t="s">
        <v>42</v>
      </c>
      <c r="B80" s="162">
        <v>0</v>
      </c>
      <c r="C80" s="162">
        <v>0</v>
      </c>
      <c r="D80" s="162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62">
        <v>0</v>
      </c>
      <c r="M80" s="162">
        <f>+'Calcul prévi'!E568</f>
        <v>0</v>
      </c>
      <c r="N80" s="163">
        <f t="shared" si="53"/>
        <v>0</v>
      </c>
    </row>
    <row r="81" spans="1:14" x14ac:dyDescent="0.25">
      <c r="A81" s="156" t="s">
        <v>44</v>
      </c>
      <c r="B81" s="162">
        <f>Financements!C35</f>
        <v>0</v>
      </c>
      <c r="C81" s="162">
        <f>Financements!D35</f>
        <v>0</v>
      </c>
      <c r="D81" s="162">
        <f>Financements!E35</f>
        <v>0</v>
      </c>
      <c r="E81" s="162">
        <f>Financements!F35</f>
        <v>0</v>
      </c>
      <c r="F81" s="162">
        <f>Financements!G35</f>
        <v>0</v>
      </c>
      <c r="G81" s="162">
        <f>Financements!H35</f>
        <v>0</v>
      </c>
      <c r="H81" s="162">
        <f>Financements!I35</f>
        <v>0</v>
      </c>
      <c r="I81" s="162">
        <f>Financements!J35</f>
        <v>0</v>
      </c>
      <c r="J81" s="162">
        <f>Financements!K35</f>
        <v>0</v>
      </c>
      <c r="K81" s="162">
        <f>Financements!L35</f>
        <v>0</v>
      </c>
      <c r="L81" s="162">
        <f>Financements!M35</f>
        <v>0</v>
      </c>
      <c r="M81" s="162">
        <f>Financements!N35</f>
        <v>0</v>
      </c>
      <c r="N81" s="163">
        <f t="shared" si="53"/>
        <v>0</v>
      </c>
    </row>
    <row r="82" spans="1:14" x14ac:dyDescent="0.25">
      <c r="A82" s="156" t="s">
        <v>43</v>
      </c>
      <c r="B82" s="162">
        <f>+'Calcul prévi'!F256+'Calcul prévi'!F295+'Calcul prévi'!F334</f>
        <v>0</v>
      </c>
      <c r="C82" s="162">
        <f>'Calcul prévi'!F335+'Calcul prévi'!F296+'Calcul prévi'!F257</f>
        <v>0</v>
      </c>
      <c r="D82" s="162">
        <f>'Calcul prévi'!F258+'Calcul prévi'!F297+'Calcul prévi'!F336</f>
        <v>0</v>
      </c>
      <c r="E82" s="162">
        <f>'Calcul prévi'!F337+'Calcul prévi'!F298+'Calcul prévi'!F259</f>
        <v>0</v>
      </c>
      <c r="F82" s="162">
        <f>'Calcul prévi'!F260+'Calcul prévi'!F299+'Calcul prévi'!F338</f>
        <v>0</v>
      </c>
      <c r="G82" s="162">
        <f>'Calcul prévi'!F339+'Calcul prévi'!F300+'Calcul prévi'!F261</f>
        <v>0</v>
      </c>
      <c r="H82" s="162">
        <f>'Calcul prévi'!F262+'Calcul prévi'!F301+'Calcul prévi'!F340</f>
        <v>0</v>
      </c>
      <c r="I82" s="164">
        <f>'Calcul prévi'!F341+'Calcul prévi'!F302+'Calcul prévi'!F263</f>
        <v>0</v>
      </c>
      <c r="J82" s="162">
        <f>'Calcul prévi'!F264+'Calcul prévi'!F303+'Calcul prévi'!F342</f>
        <v>0</v>
      </c>
      <c r="K82" s="162">
        <f>'Calcul prévi'!F343+'Calcul prévi'!F304+'Calcul prévi'!F265</f>
        <v>0</v>
      </c>
      <c r="L82" s="162">
        <f>'Calcul prévi'!F266+'Calcul prévi'!F305+'Calcul prévi'!F344</f>
        <v>0</v>
      </c>
      <c r="M82" s="162">
        <f>'Calcul prévi'!F345+'Calcul prévi'!F306+'Calcul prévi'!F267</f>
        <v>0</v>
      </c>
      <c r="N82" s="163">
        <f t="shared" si="53"/>
        <v>0</v>
      </c>
    </row>
    <row r="83" spans="1:14" x14ac:dyDescent="0.25">
      <c r="A83" s="156" t="s">
        <v>441</v>
      </c>
      <c r="B83" s="162">
        <f>'Calcul prévi'!C603</f>
        <v>0</v>
      </c>
      <c r="C83" s="162">
        <f>'Calcul prévi'!D603</f>
        <v>0</v>
      </c>
      <c r="D83" s="162">
        <f>'Calcul prévi'!E603</f>
        <v>0</v>
      </c>
      <c r="E83" s="162">
        <f>'Calcul prévi'!F603</f>
        <v>0</v>
      </c>
      <c r="F83" s="162">
        <f>'Calcul prévi'!G603</f>
        <v>0</v>
      </c>
      <c r="G83" s="162">
        <f>'Calcul prévi'!H603</f>
        <v>0</v>
      </c>
      <c r="H83" s="162">
        <f>'Calcul prévi'!I603</f>
        <v>0</v>
      </c>
      <c r="I83" s="162">
        <f>'Calcul prévi'!J603</f>
        <v>0</v>
      </c>
      <c r="J83" s="162">
        <f>'Calcul prévi'!K603</f>
        <v>0</v>
      </c>
      <c r="K83" s="162">
        <f>'Calcul prévi'!L603</f>
        <v>0</v>
      </c>
      <c r="L83" s="162">
        <f>'Calcul prévi'!M603</f>
        <v>0</v>
      </c>
      <c r="M83" s="162">
        <f>'Calcul prévi'!N603</f>
        <v>0</v>
      </c>
      <c r="N83" s="163">
        <f t="shared" si="53"/>
        <v>0</v>
      </c>
    </row>
    <row r="84" spans="1:14" x14ac:dyDescent="0.25">
      <c r="A84" s="153" t="s">
        <v>47</v>
      </c>
      <c r="B84" s="165">
        <f>SUM(B71:B83)</f>
        <v>0</v>
      </c>
      <c r="C84" s="165">
        <f t="shared" ref="C84" si="54">SUM(C71:C83)</f>
        <v>0</v>
      </c>
      <c r="D84" s="165">
        <f t="shared" ref="D84" si="55">SUM(D71:D83)</f>
        <v>0</v>
      </c>
      <c r="E84" s="165">
        <f t="shared" ref="E84" si="56">SUM(E71:E83)</f>
        <v>0</v>
      </c>
      <c r="F84" s="165">
        <f t="shared" ref="F84" si="57">SUM(F71:F83)</f>
        <v>0</v>
      </c>
      <c r="G84" s="165">
        <f t="shared" ref="G84" si="58">SUM(G71:G83)</f>
        <v>0</v>
      </c>
      <c r="H84" s="165">
        <f t="shared" ref="H84" si="59">SUM(H71:H83)</f>
        <v>0</v>
      </c>
      <c r="I84" s="165">
        <f t="shared" ref="I84" si="60">SUM(I71:I83)</f>
        <v>0</v>
      </c>
      <c r="J84" s="165">
        <f t="shared" ref="J84" si="61">SUM(J71:J83)</f>
        <v>0</v>
      </c>
      <c r="K84" s="165">
        <f t="shared" ref="K84" si="62">SUM(K71:K83)</f>
        <v>0</v>
      </c>
      <c r="L84" s="165">
        <f t="shared" ref="L84" si="63">SUM(L71:L83)</f>
        <v>0</v>
      </c>
      <c r="M84" s="165">
        <f t="shared" ref="M84" si="64">SUM(M71:M83)</f>
        <v>0</v>
      </c>
      <c r="N84" s="163">
        <f t="shared" si="53"/>
        <v>0</v>
      </c>
    </row>
    <row r="85" spans="1:14" x14ac:dyDescent="0.25">
      <c r="A85" s="160" t="s">
        <v>45</v>
      </c>
      <c r="B85" s="166">
        <f>B69-B84</f>
        <v>0</v>
      </c>
      <c r="C85" s="166">
        <f t="shared" ref="C85" si="65">C69-C84</f>
        <v>0</v>
      </c>
      <c r="D85" s="166">
        <f t="shared" ref="D85" si="66">D69-D84</f>
        <v>0</v>
      </c>
      <c r="E85" s="166">
        <f t="shared" ref="E85" si="67">E69-E84</f>
        <v>0</v>
      </c>
      <c r="F85" s="166">
        <f t="shared" ref="F85" si="68">F69-F84</f>
        <v>0</v>
      </c>
      <c r="G85" s="166">
        <f t="shared" ref="G85" si="69">G69-G84</f>
        <v>0</v>
      </c>
      <c r="H85" s="166">
        <f t="shared" ref="H85" si="70">H69-H84</f>
        <v>0</v>
      </c>
      <c r="I85" s="166">
        <f t="shared" ref="I85" si="71">I69-I84</f>
        <v>0</v>
      </c>
      <c r="J85" s="166">
        <f t="shared" ref="J85" si="72">J69-J84</f>
        <v>0</v>
      </c>
      <c r="K85" s="166">
        <f t="shared" ref="K85" si="73">K69-K84</f>
        <v>0</v>
      </c>
      <c r="L85" s="166">
        <f t="shared" ref="L85" si="74">L69-L84</f>
        <v>0</v>
      </c>
      <c r="M85" s="166">
        <f t="shared" ref="M85" si="75">M69-M84</f>
        <v>0</v>
      </c>
      <c r="N85" s="167"/>
    </row>
    <row r="86" spans="1:14" x14ac:dyDescent="0.25">
      <c r="A86" s="151" t="s">
        <v>46</v>
      </c>
      <c r="B86" s="168">
        <f>M57+B69-B84</f>
        <v>0</v>
      </c>
      <c r="C86" s="168">
        <f>B86+C69-C84</f>
        <v>0</v>
      </c>
      <c r="D86" s="168">
        <f t="shared" ref="D86:M86" si="76">C86+D69-D84</f>
        <v>0</v>
      </c>
      <c r="E86" s="168">
        <f t="shared" si="76"/>
        <v>0</v>
      </c>
      <c r="F86" s="168">
        <f t="shared" si="76"/>
        <v>0</v>
      </c>
      <c r="G86" s="168">
        <f t="shared" si="76"/>
        <v>0</v>
      </c>
      <c r="H86" s="168">
        <f t="shared" si="76"/>
        <v>0</v>
      </c>
      <c r="I86" s="168">
        <f t="shared" si="76"/>
        <v>0</v>
      </c>
      <c r="J86" s="168">
        <f t="shared" si="76"/>
        <v>0</v>
      </c>
      <c r="K86" s="168">
        <f t="shared" si="76"/>
        <v>0</v>
      </c>
      <c r="L86" s="168">
        <f t="shared" si="76"/>
        <v>0</v>
      </c>
      <c r="M86" s="245">
        <f t="shared" si="76"/>
        <v>0</v>
      </c>
      <c r="N86" s="168"/>
    </row>
  </sheetData>
  <sheetProtection algorithmName="SHA-512" hashValue="bYvP6RgDsWS5FIIeJEy3rdN5vFAQQGaXY0HnmjugnZ/ODU1PHrHrK9wwoogQjn6kqswUUibM9hDcc1WX57lw7Q==" saltValue="8TlA2pIJAvJArhRDtV5PtA==" spinCount="100000" sheet="1" objects="1" scenarios="1"/>
  <mergeCells count="7">
    <mergeCell ref="B32:M32"/>
    <mergeCell ref="B41:M41"/>
    <mergeCell ref="B60:M60"/>
    <mergeCell ref="B70:M70"/>
    <mergeCell ref="A1:N1"/>
    <mergeCell ref="B13:M13"/>
    <mergeCell ref="B5:M5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165"/>
  <sheetViews>
    <sheetView showGridLines="0" tabSelected="1" topLeftCell="A22" workbookViewId="0">
      <selection activeCell="C29" sqref="C29"/>
    </sheetView>
  </sheetViews>
  <sheetFormatPr baseColWidth="10" defaultRowHeight="15" x14ac:dyDescent="0.25"/>
  <cols>
    <col min="1" max="1" width="1.7109375" style="26" customWidth="1"/>
    <col min="2" max="2" width="52.42578125" customWidth="1"/>
    <col min="3" max="3" width="32.28515625" bestFit="1" customWidth="1"/>
    <col min="4" max="4" width="8.140625" customWidth="1"/>
    <col min="5" max="5" width="8.42578125" customWidth="1"/>
    <col min="6" max="6" width="14.140625" customWidth="1"/>
    <col min="7" max="7" width="10.5703125" customWidth="1"/>
    <col min="8" max="8" width="20.140625" customWidth="1"/>
    <col min="9" max="10" width="11.42578125" customWidth="1"/>
    <col min="11" max="11" width="43" customWidth="1"/>
    <col min="12" max="12" width="2.28515625" customWidth="1"/>
    <col min="14" max="14" width="13.7109375" customWidth="1"/>
    <col min="16" max="16" width="13" customWidth="1"/>
    <col min="17" max="17" width="13.5703125" customWidth="1"/>
    <col min="20" max="20" width="13.140625" customWidth="1"/>
    <col min="22" max="22" width="13.7109375" customWidth="1"/>
    <col min="23" max="23" width="14.140625" customWidth="1"/>
  </cols>
  <sheetData>
    <row r="1" spans="1:12" ht="5.0999999999999996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6.25" x14ac:dyDescent="0.25">
      <c r="A2" s="38"/>
      <c r="B2" s="365" t="s">
        <v>363</v>
      </c>
      <c r="C2" s="365"/>
      <c r="D2" s="365"/>
      <c r="E2" s="365"/>
      <c r="F2" s="365"/>
      <c r="G2" s="365"/>
      <c r="H2" s="365"/>
      <c r="I2" s="365"/>
      <c r="J2" s="365"/>
      <c r="K2" s="365"/>
      <c r="L2" s="39"/>
    </row>
    <row r="3" spans="1:12" x14ac:dyDescent="0.25">
      <c r="A3" s="38"/>
      <c r="B3" s="31"/>
      <c r="C3" s="31"/>
      <c r="D3" s="31"/>
      <c r="E3" s="31"/>
      <c r="F3" s="31"/>
      <c r="G3" s="31"/>
      <c r="H3" s="31"/>
      <c r="I3" s="31"/>
      <c r="J3" s="31"/>
      <c r="K3" s="31"/>
      <c r="L3" s="39"/>
    </row>
    <row r="4" spans="1:12" x14ac:dyDescent="0.25">
      <c r="A4" s="38"/>
      <c r="B4" s="352" t="s">
        <v>389</v>
      </c>
      <c r="C4" s="259"/>
      <c r="D4" s="259"/>
      <c r="E4" s="259"/>
      <c r="F4" s="259"/>
      <c r="G4" s="260"/>
      <c r="H4" s="31"/>
      <c r="I4" s="31"/>
      <c r="J4" s="31"/>
      <c r="K4" s="31"/>
      <c r="L4" s="39"/>
    </row>
    <row r="5" spans="1:12" x14ac:dyDescent="0.25">
      <c r="A5" s="38"/>
      <c r="B5" s="353" t="s">
        <v>163</v>
      </c>
      <c r="C5" s="262"/>
      <c r="D5" s="262"/>
      <c r="E5" s="262"/>
      <c r="F5" s="262"/>
      <c r="G5" s="263"/>
      <c r="H5" s="31"/>
      <c r="I5" s="31"/>
      <c r="J5" s="31"/>
      <c r="K5" s="31"/>
      <c r="L5" s="39"/>
    </row>
    <row r="6" spans="1:12" x14ac:dyDescent="0.25">
      <c r="A6" s="38"/>
      <c r="B6" s="354" t="s">
        <v>652</v>
      </c>
      <c r="C6" s="262"/>
      <c r="D6" s="262"/>
      <c r="E6" s="262"/>
      <c r="F6" s="262"/>
      <c r="G6" s="263"/>
      <c r="H6" s="31"/>
      <c r="I6" s="31"/>
      <c r="J6" s="31"/>
      <c r="K6" s="31"/>
      <c r="L6" s="39"/>
    </row>
    <row r="7" spans="1:12" x14ac:dyDescent="0.25">
      <c r="A7" s="38"/>
      <c r="B7" s="355" t="s">
        <v>653</v>
      </c>
      <c r="C7" s="264"/>
      <c r="D7" s="264"/>
      <c r="E7" s="264"/>
      <c r="F7" s="264"/>
      <c r="G7" s="265"/>
      <c r="H7" s="31"/>
      <c r="I7" s="31"/>
      <c r="J7" s="31"/>
      <c r="K7" s="31"/>
      <c r="L7" s="39"/>
    </row>
    <row r="8" spans="1:12" x14ac:dyDescent="0.25">
      <c r="A8" s="38"/>
      <c r="B8" s="31"/>
      <c r="C8" s="31"/>
      <c r="D8" s="31"/>
      <c r="E8" s="31"/>
      <c r="F8" s="31"/>
      <c r="G8" s="31"/>
      <c r="H8" s="31"/>
      <c r="I8" s="31"/>
      <c r="J8" s="31"/>
      <c r="K8" s="31"/>
      <c r="L8" s="39"/>
    </row>
    <row r="9" spans="1:12" ht="15.75" x14ac:dyDescent="0.25">
      <c r="A9" s="38"/>
      <c r="B9" s="201" t="s">
        <v>362</v>
      </c>
      <c r="C9" s="31"/>
      <c r="D9" s="31"/>
      <c r="E9" s="31"/>
      <c r="F9" s="31"/>
      <c r="G9" s="31"/>
      <c r="H9" s="31"/>
      <c r="I9" s="31"/>
      <c r="J9" s="31"/>
      <c r="K9" s="31"/>
      <c r="L9" s="39"/>
    </row>
    <row r="10" spans="1:12" ht="20.100000000000001" customHeight="1" x14ac:dyDescent="0.25">
      <c r="A10" s="38"/>
      <c r="B10" s="31"/>
      <c r="C10" s="335" t="s">
        <v>485</v>
      </c>
      <c r="D10" s="370" t="s">
        <v>388</v>
      </c>
      <c r="E10" s="370"/>
      <c r="F10" s="370"/>
      <c r="G10" s="370"/>
      <c r="H10" s="370"/>
      <c r="I10" s="370"/>
      <c r="J10" s="370"/>
      <c r="K10" s="257" t="s">
        <v>484</v>
      </c>
      <c r="L10" s="39"/>
    </row>
    <row r="11" spans="1:12" x14ac:dyDescent="0.25">
      <c r="A11" s="38"/>
      <c r="B11" s="334" t="s">
        <v>123</v>
      </c>
      <c r="C11" s="326" t="s">
        <v>124</v>
      </c>
      <c r="D11" s="367"/>
      <c r="E11" s="368"/>
      <c r="F11" s="368"/>
      <c r="G11" s="368"/>
      <c r="H11" s="368"/>
      <c r="I11" s="368"/>
      <c r="J11" s="369"/>
      <c r="K11" s="336" t="s">
        <v>392</v>
      </c>
      <c r="L11" s="39"/>
    </row>
    <row r="12" spans="1:12" x14ac:dyDescent="0.25">
      <c r="A12" s="38"/>
      <c r="B12" s="334" t="s">
        <v>1</v>
      </c>
      <c r="C12" s="327"/>
      <c r="D12" s="367"/>
      <c r="E12" s="368"/>
      <c r="F12" s="368"/>
      <c r="G12" s="368"/>
      <c r="H12" s="368"/>
      <c r="I12" s="368"/>
      <c r="J12" s="369"/>
      <c r="K12" s="337"/>
      <c r="L12" s="39"/>
    </row>
    <row r="13" spans="1:12" x14ac:dyDescent="0.25">
      <c r="A13" s="38"/>
      <c r="B13" s="334" t="s">
        <v>523</v>
      </c>
      <c r="C13" s="328"/>
      <c r="D13" s="367"/>
      <c r="E13" s="368"/>
      <c r="F13" s="368"/>
      <c r="G13" s="368"/>
      <c r="H13" s="368"/>
      <c r="I13" s="368"/>
      <c r="J13" s="369"/>
      <c r="K13" s="337"/>
      <c r="L13" s="39"/>
    </row>
    <row r="14" spans="1:12" x14ac:dyDescent="0.25">
      <c r="A14" s="38"/>
      <c r="B14" s="334" t="s">
        <v>25</v>
      </c>
      <c r="C14" s="329"/>
      <c r="D14" s="367"/>
      <c r="E14" s="368"/>
      <c r="F14" s="368"/>
      <c r="G14" s="368"/>
      <c r="H14" s="368"/>
      <c r="I14" s="368"/>
      <c r="J14" s="369"/>
      <c r="K14" s="337"/>
      <c r="L14" s="39"/>
    </row>
    <row r="15" spans="1:12" ht="33" customHeight="1" x14ac:dyDescent="0.25">
      <c r="A15" s="38"/>
      <c r="B15" s="343" t="s">
        <v>511</v>
      </c>
      <c r="C15" s="329"/>
      <c r="D15" s="371" t="s">
        <v>513</v>
      </c>
      <c r="E15" s="372"/>
      <c r="F15" s="372"/>
      <c r="G15" s="372"/>
      <c r="H15" s="372"/>
      <c r="I15" s="372"/>
      <c r="J15" s="373"/>
      <c r="K15" s="267" t="s">
        <v>512</v>
      </c>
      <c r="L15" s="39"/>
    </row>
    <row r="16" spans="1:12" x14ac:dyDescent="0.25">
      <c r="A16" s="38"/>
      <c r="B16" s="334" t="s">
        <v>311</v>
      </c>
      <c r="C16" s="330"/>
      <c r="D16" s="367"/>
      <c r="E16" s="368"/>
      <c r="F16" s="368"/>
      <c r="G16" s="368"/>
      <c r="H16" s="368"/>
      <c r="I16" s="368"/>
      <c r="J16" s="369"/>
      <c r="K16" s="337"/>
      <c r="L16" s="39"/>
    </row>
    <row r="17" spans="1:12" x14ac:dyDescent="0.25">
      <c r="A17" s="38"/>
      <c r="B17" s="334" t="s">
        <v>312</v>
      </c>
      <c r="C17" s="330"/>
      <c r="D17" s="367"/>
      <c r="E17" s="368"/>
      <c r="F17" s="368"/>
      <c r="G17" s="368"/>
      <c r="H17" s="368"/>
      <c r="I17" s="368"/>
      <c r="J17" s="369"/>
      <c r="K17" s="337"/>
      <c r="L17" s="39"/>
    </row>
    <row r="18" spans="1:12" x14ac:dyDescent="0.25">
      <c r="A18" s="38"/>
      <c r="B18" s="334" t="s">
        <v>313</v>
      </c>
      <c r="C18" s="330"/>
      <c r="D18" s="367"/>
      <c r="E18" s="368"/>
      <c r="F18" s="368"/>
      <c r="G18" s="368"/>
      <c r="H18" s="368"/>
      <c r="I18" s="368"/>
      <c r="J18" s="369"/>
      <c r="K18" s="337"/>
      <c r="L18" s="39"/>
    </row>
    <row r="19" spans="1:12" x14ac:dyDescent="0.25">
      <c r="A19" s="38"/>
      <c r="B19" s="334" t="s">
        <v>314</v>
      </c>
      <c r="C19" s="330"/>
      <c r="D19" s="367"/>
      <c r="E19" s="368"/>
      <c r="F19" s="368"/>
      <c r="G19" s="368"/>
      <c r="H19" s="368"/>
      <c r="I19" s="368"/>
      <c r="J19" s="369"/>
      <c r="K19" s="337"/>
      <c r="L19" s="39"/>
    </row>
    <row r="20" spans="1:12" x14ac:dyDescent="0.25">
      <c r="A20" s="38"/>
      <c r="B20" s="334" t="s">
        <v>315</v>
      </c>
      <c r="C20" s="330"/>
      <c r="D20" s="367"/>
      <c r="E20" s="368"/>
      <c r="F20" s="368"/>
      <c r="G20" s="368"/>
      <c r="H20" s="368"/>
      <c r="I20" s="368"/>
      <c r="J20" s="369"/>
      <c r="K20" s="337"/>
      <c r="L20" s="39"/>
    </row>
    <row r="21" spans="1:12" x14ac:dyDescent="0.25">
      <c r="A21" s="38"/>
      <c r="B21" s="177"/>
      <c r="C21" s="60"/>
      <c r="D21" s="31"/>
      <c r="E21" s="31"/>
      <c r="F21" s="31"/>
      <c r="G21" s="31"/>
      <c r="H21" s="31"/>
      <c r="I21" s="31"/>
      <c r="J21" s="31"/>
      <c r="K21" s="31"/>
      <c r="L21" s="39"/>
    </row>
    <row r="22" spans="1:12" ht="15.75" x14ac:dyDescent="0.25">
      <c r="A22" s="38"/>
      <c r="B22" s="201" t="s">
        <v>165</v>
      </c>
      <c r="C22" s="331"/>
      <c r="D22" s="31"/>
      <c r="E22" s="31"/>
      <c r="F22" s="31"/>
      <c r="G22" s="31"/>
      <c r="H22" s="31"/>
      <c r="I22" s="31"/>
      <c r="J22" s="31"/>
      <c r="K22" s="31"/>
      <c r="L22" s="39"/>
    </row>
    <row r="23" spans="1:12" ht="20.100000000000001" customHeight="1" x14ac:dyDescent="0.25">
      <c r="A23" s="38"/>
      <c r="B23" s="31"/>
      <c r="C23" s="331"/>
      <c r="D23" s="370" t="s">
        <v>388</v>
      </c>
      <c r="E23" s="370"/>
      <c r="F23" s="370"/>
      <c r="G23" s="370"/>
      <c r="H23" s="370"/>
      <c r="I23" s="370"/>
      <c r="J23" s="370"/>
      <c r="K23" s="320" t="s">
        <v>484</v>
      </c>
      <c r="L23" s="39"/>
    </row>
    <row r="24" spans="1:12" x14ac:dyDescent="0.25">
      <c r="A24" s="38"/>
      <c r="B24" s="333" t="s">
        <v>310</v>
      </c>
      <c r="C24" s="321">
        <v>1</v>
      </c>
      <c r="D24" s="374"/>
      <c r="E24" s="374"/>
      <c r="F24" s="374"/>
      <c r="G24" s="374"/>
      <c r="H24" s="374"/>
      <c r="I24" s="374"/>
      <c r="J24" s="374"/>
      <c r="K24" s="338"/>
      <c r="L24" s="39"/>
    </row>
    <row r="25" spans="1:12" x14ac:dyDescent="0.25">
      <c r="A25" s="38"/>
      <c r="B25" s="333" t="s">
        <v>164</v>
      </c>
      <c r="C25" s="321" t="s">
        <v>166</v>
      </c>
      <c r="D25" s="375" t="s">
        <v>514</v>
      </c>
      <c r="E25" s="375"/>
      <c r="F25" s="375"/>
      <c r="G25" s="375"/>
      <c r="H25" s="375"/>
      <c r="I25" s="375"/>
      <c r="J25" s="375"/>
      <c r="K25" s="336" t="s">
        <v>390</v>
      </c>
      <c r="L25" s="39"/>
    </row>
    <row r="26" spans="1:12" x14ac:dyDescent="0.25">
      <c r="A26" s="38"/>
      <c r="B26" s="333" t="s">
        <v>169</v>
      </c>
      <c r="C26" s="322">
        <v>0.45</v>
      </c>
      <c r="D26" s="375" t="s">
        <v>515</v>
      </c>
      <c r="E26" s="375"/>
      <c r="F26" s="375"/>
      <c r="G26" s="375"/>
      <c r="H26" s="375"/>
      <c r="I26" s="375"/>
      <c r="J26" s="375"/>
      <c r="K26" s="361" t="s">
        <v>699</v>
      </c>
      <c r="L26" s="39"/>
    </row>
    <row r="27" spans="1:12" x14ac:dyDescent="0.25">
      <c r="A27" s="38"/>
      <c r="B27" s="333" t="s">
        <v>317</v>
      </c>
      <c r="C27" s="323" t="s">
        <v>141</v>
      </c>
      <c r="D27" s="376" t="s">
        <v>516</v>
      </c>
      <c r="E27" s="377"/>
      <c r="F27" s="377"/>
      <c r="G27" s="377"/>
      <c r="H27" s="377"/>
      <c r="I27" s="377"/>
      <c r="J27" s="378"/>
      <c r="K27" s="339"/>
      <c r="L27" s="39"/>
    </row>
    <row r="28" spans="1:12" ht="33" customHeight="1" x14ac:dyDescent="0.25">
      <c r="A28" s="38"/>
      <c r="B28" s="333" t="s">
        <v>168</v>
      </c>
      <c r="C28" s="322">
        <v>0.8</v>
      </c>
      <c r="D28" s="375" t="s">
        <v>517</v>
      </c>
      <c r="E28" s="375"/>
      <c r="F28" s="375"/>
      <c r="G28" s="375"/>
      <c r="H28" s="375"/>
      <c r="I28" s="375"/>
      <c r="J28" s="375"/>
      <c r="K28" s="362" t="s">
        <v>698</v>
      </c>
      <c r="L28" s="39"/>
    </row>
    <row r="29" spans="1:12" ht="33" customHeight="1" x14ac:dyDescent="0.25">
      <c r="A29" s="38"/>
      <c r="B29" s="333" t="s">
        <v>179</v>
      </c>
      <c r="C29" s="322">
        <v>0.25</v>
      </c>
      <c r="D29" s="375" t="s">
        <v>518</v>
      </c>
      <c r="E29" s="375"/>
      <c r="F29" s="375"/>
      <c r="G29" s="375"/>
      <c r="H29" s="375"/>
      <c r="I29" s="375"/>
      <c r="J29" s="375"/>
      <c r="K29" s="340" t="s">
        <v>391</v>
      </c>
      <c r="L29" s="39"/>
    </row>
    <row r="30" spans="1:12" ht="33" customHeight="1" x14ac:dyDescent="0.25">
      <c r="A30" s="38"/>
      <c r="B30" s="333" t="s">
        <v>178</v>
      </c>
      <c r="C30" s="322">
        <v>0.4</v>
      </c>
      <c r="D30" s="375" t="s">
        <v>519</v>
      </c>
      <c r="E30" s="375"/>
      <c r="F30" s="375"/>
      <c r="G30" s="375"/>
      <c r="H30" s="375"/>
      <c r="I30" s="375"/>
      <c r="J30" s="375"/>
      <c r="K30" s="340" t="s">
        <v>391</v>
      </c>
      <c r="L30" s="39"/>
    </row>
    <row r="31" spans="1:12" ht="33" customHeight="1" x14ac:dyDescent="0.25">
      <c r="A31" s="38"/>
      <c r="B31" s="333" t="s">
        <v>318</v>
      </c>
      <c r="C31" s="323" t="s">
        <v>141</v>
      </c>
      <c r="D31" s="376" t="s">
        <v>520</v>
      </c>
      <c r="E31" s="377"/>
      <c r="F31" s="377"/>
      <c r="G31" s="377"/>
      <c r="H31" s="377"/>
      <c r="I31" s="377"/>
      <c r="J31" s="378"/>
      <c r="K31" s="338"/>
      <c r="L31" s="39"/>
    </row>
    <row r="32" spans="1:12" x14ac:dyDescent="0.25">
      <c r="A32" s="38"/>
      <c r="B32" s="31"/>
      <c r="C32" s="60"/>
      <c r="D32" s="31"/>
      <c r="E32" s="31"/>
      <c r="F32" s="31"/>
      <c r="G32" s="31"/>
      <c r="H32" s="31"/>
      <c r="I32" s="31"/>
      <c r="J32" s="31"/>
      <c r="K32" s="31"/>
      <c r="L32" s="39"/>
    </row>
    <row r="33" spans="1:12" ht="15.75" x14ac:dyDescent="0.25">
      <c r="A33" s="38"/>
      <c r="B33" s="201" t="s">
        <v>143</v>
      </c>
      <c r="C33" s="60"/>
      <c r="D33" s="31"/>
      <c r="E33" s="31"/>
      <c r="F33" s="31"/>
      <c r="G33" s="31"/>
      <c r="H33" s="31"/>
      <c r="I33" s="31"/>
      <c r="J33" s="31"/>
      <c r="K33" s="31"/>
      <c r="L33" s="39"/>
    </row>
    <row r="34" spans="1:12" ht="20.100000000000001" customHeight="1" x14ac:dyDescent="0.25">
      <c r="A34" s="38"/>
      <c r="B34" s="31"/>
      <c r="C34" s="60"/>
      <c r="D34" s="370" t="s">
        <v>388</v>
      </c>
      <c r="E34" s="370"/>
      <c r="F34" s="370"/>
      <c r="G34" s="370"/>
      <c r="H34" s="370"/>
      <c r="I34" s="370"/>
      <c r="J34" s="370"/>
      <c r="K34" s="320" t="s">
        <v>484</v>
      </c>
      <c r="L34" s="39"/>
    </row>
    <row r="35" spans="1:12" ht="33" customHeight="1" x14ac:dyDescent="0.25">
      <c r="A35" s="38"/>
      <c r="B35" s="333" t="s">
        <v>120</v>
      </c>
      <c r="C35" s="363" t="s">
        <v>116</v>
      </c>
      <c r="D35" s="375" t="s">
        <v>702</v>
      </c>
      <c r="E35" s="375"/>
      <c r="F35" s="375"/>
      <c r="G35" s="375"/>
      <c r="H35" s="375"/>
      <c r="I35" s="375"/>
      <c r="J35" s="375"/>
      <c r="K35" s="341" t="s">
        <v>394</v>
      </c>
      <c r="L35" s="39"/>
    </row>
    <row r="36" spans="1:12" x14ac:dyDescent="0.25">
      <c r="A36" s="38"/>
      <c r="B36" s="333" t="s">
        <v>139</v>
      </c>
      <c r="C36" s="324" t="s">
        <v>140</v>
      </c>
      <c r="D36" s="375" t="s">
        <v>521</v>
      </c>
      <c r="E36" s="375"/>
      <c r="F36" s="375"/>
      <c r="G36" s="375"/>
      <c r="H36" s="375"/>
      <c r="I36" s="375"/>
      <c r="J36" s="375"/>
      <c r="K36" s="341" t="s">
        <v>393</v>
      </c>
      <c r="L36" s="39"/>
    </row>
    <row r="37" spans="1:12" x14ac:dyDescent="0.25">
      <c r="A37" s="38"/>
      <c r="B37" s="333" t="s">
        <v>199</v>
      </c>
      <c r="C37" s="325">
        <v>0.2</v>
      </c>
      <c r="D37" s="375"/>
      <c r="E37" s="375"/>
      <c r="F37" s="375"/>
      <c r="G37" s="375"/>
      <c r="H37" s="375"/>
      <c r="I37" s="375"/>
      <c r="J37" s="375"/>
      <c r="K37" s="342"/>
      <c r="L37" s="39"/>
    </row>
    <row r="38" spans="1:12" x14ac:dyDescent="0.25">
      <c r="A38" s="38"/>
      <c r="B38" s="333" t="s">
        <v>200</v>
      </c>
      <c r="C38" s="325">
        <v>0.2</v>
      </c>
      <c r="D38" s="375"/>
      <c r="E38" s="375"/>
      <c r="F38" s="375"/>
      <c r="G38" s="375"/>
      <c r="H38" s="375"/>
      <c r="I38" s="375"/>
      <c r="J38" s="375"/>
      <c r="K38" s="342"/>
      <c r="L38" s="39"/>
    </row>
    <row r="39" spans="1:12" x14ac:dyDescent="0.25">
      <c r="A39" s="38"/>
      <c r="B39" s="31"/>
      <c r="C39" s="332"/>
      <c r="D39" s="31"/>
      <c r="E39" s="31"/>
      <c r="F39" s="31"/>
      <c r="G39" s="31"/>
      <c r="H39" s="31"/>
      <c r="I39" s="31"/>
      <c r="J39" s="31"/>
      <c r="K39" s="31"/>
      <c r="L39" s="39"/>
    </row>
    <row r="40" spans="1:12" ht="15.75" x14ac:dyDescent="0.25">
      <c r="A40" s="38"/>
      <c r="B40" s="201" t="s">
        <v>144</v>
      </c>
      <c r="C40" s="332"/>
      <c r="D40" s="31"/>
      <c r="E40" s="31"/>
      <c r="F40" s="31"/>
      <c r="G40" s="31"/>
      <c r="H40" s="31"/>
      <c r="I40" s="31"/>
      <c r="J40" s="31"/>
      <c r="K40" s="31"/>
      <c r="L40" s="39"/>
    </row>
    <row r="41" spans="1:12" ht="20.100000000000001" customHeight="1" x14ac:dyDescent="0.25">
      <c r="A41" s="38"/>
      <c r="B41" s="31"/>
      <c r="C41" s="332"/>
      <c r="D41" s="370" t="s">
        <v>388</v>
      </c>
      <c r="E41" s="370"/>
      <c r="F41" s="370"/>
      <c r="G41" s="370"/>
      <c r="H41" s="370"/>
      <c r="I41" s="370"/>
      <c r="J41" s="370"/>
      <c r="K41" s="320" t="s">
        <v>484</v>
      </c>
      <c r="L41" s="39"/>
    </row>
    <row r="42" spans="1:12" x14ac:dyDescent="0.25">
      <c r="A42" s="38"/>
      <c r="B42" s="333" t="s">
        <v>480</v>
      </c>
      <c r="C42" s="321">
        <v>60</v>
      </c>
      <c r="D42" s="375"/>
      <c r="E42" s="375"/>
      <c r="F42" s="375"/>
      <c r="G42" s="375"/>
      <c r="H42" s="375"/>
      <c r="I42" s="375"/>
      <c r="J42" s="375"/>
      <c r="K42" s="342"/>
      <c r="L42" s="39"/>
    </row>
    <row r="43" spans="1:12" ht="33" customHeight="1" x14ac:dyDescent="0.25">
      <c r="A43" s="38"/>
      <c r="B43" s="333" t="s">
        <v>481</v>
      </c>
      <c r="C43" s="321">
        <v>30</v>
      </c>
      <c r="D43" s="375" t="s">
        <v>522</v>
      </c>
      <c r="E43" s="375"/>
      <c r="F43" s="375"/>
      <c r="G43" s="375"/>
      <c r="H43" s="375"/>
      <c r="I43" s="375"/>
      <c r="J43" s="375"/>
      <c r="K43" s="341" t="s">
        <v>418</v>
      </c>
      <c r="L43" s="39"/>
    </row>
    <row r="44" spans="1:12" ht="33" customHeight="1" x14ac:dyDescent="0.25">
      <c r="A44" s="38"/>
      <c r="B44" s="333" t="s">
        <v>482</v>
      </c>
      <c r="C44" s="321">
        <v>0</v>
      </c>
      <c r="D44" s="375" t="s">
        <v>522</v>
      </c>
      <c r="E44" s="375"/>
      <c r="F44" s="375"/>
      <c r="G44" s="375"/>
      <c r="H44" s="375"/>
      <c r="I44" s="375"/>
      <c r="J44" s="375"/>
      <c r="K44" s="341" t="s">
        <v>418</v>
      </c>
      <c r="L44" s="39"/>
    </row>
    <row r="45" spans="1:12" ht="33" customHeight="1" x14ac:dyDescent="0.25">
      <c r="A45" s="38"/>
      <c r="B45" s="333" t="s">
        <v>483</v>
      </c>
      <c r="C45" s="321">
        <v>60</v>
      </c>
      <c r="D45" s="375" t="s">
        <v>522</v>
      </c>
      <c r="E45" s="375"/>
      <c r="F45" s="375"/>
      <c r="G45" s="375"/>
      <c r="H45" s="375"/>
      <c r="I45" s="375"/>
      <c r="J45" s="375"/>
      <c r="K45" s="341" t="s">
        <v>418</v>
      </c>
      <c r="L45" s="39"/>
    </row>
    <row r="46" spans="1:12" x14ac:dyDescent="0.25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9"/>
    </row>
    <row r="47" spans="1:12" s="27" customFormat="1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4"/>
    </row>
    <row r="49" spans="2:17" ht="18.75" x14ac:dyDescent="0.3">
      <c r="B49" s="6" t="s">
        <v>115</v>
      </c>
    </row>
    <row r="50" spans="2:17" x14ac:dyDescent="0.25">
      <c r="E50" s="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7" x14ac:dyDescent="0.25"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x14ac:dyDescent="0.25">
      <c r="C52" s="1" t="s">
        <v>129</v>
      </c>
      <c r="E52" s="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2:17" x14ac:dyDescent="0.25">
      <c r="C53" s="1" t="s">
        <v>127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x14ac:dyDescent="0.25">
      <c r="C54" s="1" t="s">
        <v>124</v>
      </c>
      <c r="E54" s="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2:17" x14ac:dyDescent="0.25">
      <c r="C55" s="1" t="s">
        <v>125</v>
      </c>
    </row>
    <row r="56" spans="2:17" x14ac:dyDescent="0.25">
      <c r="C56" s="1" t="s">
        <v>145</v>
      </c>
      <c r="I56" s="1" t="s">
        <v>121</v>
      </c>
      <c r="L56" t="s">
        <v>130</v>
      </c>
    </row>
    <row r="57" spans="2:17" x14ac:dyDescent="0.25">
      <c r="C57" s="1" t="s">
        <v>126</v>
      </c>
      <c r="E57" s="1" t="s">
        <v>116</v>
      </c>
      <c r="G57" s="1" t="s">
        <v>118</v>
      </c>
      <c r="I57" s="1">
        <v>0</v>
      </c>
      <c r="L57" s="21">
        <v>0.01</v>
      </c>
    </row>
    <row r="58" spans="2:17" x14ac:dyDescent="0.25">
      <c r="C58" s="1" t="s">
        <v>128</v>
      </c>
      <c r="E58" s="1" t="s">
        <v>117</v>
      </c>
      <c r="G58" s="1" t="s">
        <v>119</v>
      </c>
      <c r="I58" s="1">
        <v>30</v>
      </c>
      <c r="L58" s="21">
        <v>0.02</v>
      </c>
    </row>
    <row r="59" spans="2:17" x14ac:dyDescent="0.25">
      <c r="C59" s="1" t="s">
        <v>114</v>
      </c>
      <c r="I59" s="1">
        <v>60</v>
      </c>
      <c r="L59" s="21">
        <v>0.03</v>
      </c>
    </row>
    <row r="60" spans="2:17" x14ac:dyDescent="0.25">
      <c r="E60" s="1" t="s">
        <v>140</v>
      </c>
      <c r="G60" s="364">
        <f>C26</f>
        <v>0.45</v>
      </c>
      <c r="I60" s="1">
        <v>90</v>
      </c>
      <c r="L60" s="21">
        <v>0.04</v>
      </c>
    </row>
    <row r="61" spans="2:17" x14ac:dyDescent="0.25">
      <c r="E61" s="1" t="s">
        <v>141</v>
      </c>
      <c r="I61" s="1">
        <v>120</v>
      </c>
      <c r="L61" s="21">
        <v>0.05</v>
      </c>
    </row>
    <row r="62" spans="2:17" x14ac:dyDescent="0.25">
      <c r="E62" s="1" t="s">
        <v>142</v>
      </c>
      <c r="I62" s="1">
        <v>150</v>
      </c>
      <c r="L62" s="21">
        <v>0.06</v>
      </c>
    </row>
    <row r="63" spans="2:17" x14ac:dyDescent="0.25">
      <c r="E63" s="1" t="s">
        <v>210</v>
      </c>
      <c r="I63" s="1">
        <v>180</v>
      </c>
      <c r="L63" s="21">
        <v>7.0000000000000007E-2</v>
      </c>
    </row>
    <row r="64" spans="2:17" x14ac:dyDescent="0.25">
      <c r="L64" s="21">
        <v>0.08</v>
      </c>
    </row>
    <row r="65" spans="3:12" x14ac:dyDescent="0.25">
      <c r="C65" s="248">
        <v>0.2</v>
      </c>
      <c r="E65" s="79">
        <v>0.2</v>
      </c>
      <c r="L65" s="21">
        <v>0.09</v>
      </c>
    </row>
    <row r="66" spans="3:12" x14ac:dyDescent="0.25">
      <c r="C66" s="248">
        <v>0</v>
      </c>
      <c r="E66" s="79">
        <v>0.1</v>
      </c>
      <c r="L66" s="21">
        <v>0.1</v>
      </c>
    </row>
    <row r="67" spans="3:12" x14ac:dyDescent="0.25">
      <c r="E67" s="79">
        <v>0</v>
      </c>
      <c r="H67" t="s">
        <v>149</v>
      </c>
      <c r="I67">
        <v>1</v>
      </c>
      <c r="L67" s="21">
        <v>0.11</v>
      </c>
    </row>
    <row r="68" spans="3:12" x14ac:dyDescent="0.25">
      <c r="H68" t="s">
        <v>150</v>
      </c>
      <c r="I68">
        <v>2</v>
      </c>
      <c r="L68" s="21">
        <v>0.12</v>
      </c>
    </row>
    <row r="69" spans="3:12" x14ac:dyDescent="0.25">
      <c r="E69" s="1" t="s">
        <v>167</v>
      </c>
      <c r="H69" t="s">
        <v>151</v>
      </c>
      <c r="I69">
        <v>3</v>
      </c>
      <c r="L69" s="21">
        <v>0.13</v>
      </c>
    </row>
    <row r="70" spans="3:12" x14ac:dyDescent="0.25">
      <c r="C70" t="s">
        <v>524</v>
      </c>
      <c r="E70" s="1" t="s">
        <v>166</v>
      </c>
      <c r="H70" t="s">
        <v>152</v>
      </c>
      <c r="I70">
        <v>4</v>
      </c>
      <c r="L70" s="21">
        <v>0.14000000000000001</v>
      </c>
    </row>
    <row r="71" spans="3:12" x14ac:dyDescent="0.25">
      <c r="C71" t="s">
        <v>525</v>
      </c>
      <c r="H71" t="s">
        <v>153</v>
      </c>
      <c r="I71">
        <v>5</v>
      </c>
      <c r="L71" s="21">
        <v>0.15</v>
      </c>
    </row>
    <row r="72" spans="3:12" x14ac:dyDescent="0.25">
      <c r="C72" t="s">
        <v>526</v>
      </c>
      <c r="E72" s="1" t="s">
        <v>81</v>
      </c>
      <c r="H72" t="s">
        <v>154</v>
      </c>
      <c r="L72" s="21">
        <v>0.16</v>
      </c>
    </row>
    <row r="73" spans="3:12" x14ac:dyDescent="0.25">
      <c r="C73" t="s">
        <v>527</v>
      </c>
      <c r="E73" s="1" t="s">
        <v>80</v>
      </c>
      <c r="H73" t="s">
        <v>155</v>
      </c>
      <c r="I73">
        <v>12</v>
      </c>
      <c r="L73" s="21">
        <v>0.17</v>
      </c>
    </row>
    <row r="74" spans="3:12" x14ac:dyDescent="0.25">
      <c r="C74" t="s">
        <v>528</v>
      </c>
      <c r="E74" s="1" t="s">
        <v>122</v>
      </c>
      <c r="H74" t="s">
        <v>156</v>
      </c>
      <c r="I74">
        <v>24</v>
      </c>
      <c r="L74" s="21">
        <v>0.18</v>
      </c>
    </row>
    <row r="75" spans="3:12" x14ac:dyDescent="0.25">
      <c r="C75" t="s">
        <v>529</v>
      </c>
      <c r="H75" t="s">
        <v>157</v>
      </c>
      <c r="I75">
        <v>36</v>
      </c>
      <c r="L75" s="21">
        <v>0.19</v>
      </c>
    </row>
    <row r="76" spans="3:12" x14ac:dyDescent="0.25">
      <c r="C76" t="s">
        <v>530</v>
      </c>
      <c r="E76" s="1" t="s">
        <v>140</v>
      </c>
      <c r="H76" t="s">
        <v>158</v>
      </c>
      <c r="I76">
        <v>48</v>
      </c>
      <c r="L76" s="21">
        <v>0.2</v>
      </c>
    </row>
    <row r="77" spans="3:12" x14ac:dyDescent="0.25">
      <c r="C77" t="s">
        <v>531</v>
      </c>
      <c r="E77" s="1" t="s">
        <v>141</v>
      </c>
      <c r="H77" t="s">
        <v>159</v>
      </c>
      <c r="I77">
        <v>60</v>
      </c>
      <c r="L77" s="21">
        <v>0.21</v>
      </c>
    </row>
    <row r="78" spans="3:12" x14ac:dyDescent="0.25">
      <c r="C78" t="s">
        <v>532</v>
      </c>
      <c r="E78" s="1" t="s">
        <v>217</v>
      </c>
      <c r="H78" t="s">
        <v>160</v>
      </c>
      <c r="I78">
        <v>72</v>
      </c>
      <c r="L78" s="21">
        <v>0.22</v>
      </c>
    </row>
    <row r="79" spans="3:12" x14ac:dyDescent="0.25">
      <c r="C79" t="s">
        <v>533</v>
      </c>
      <c r="E79" s="1" t="s">
        <v>216</v>
      </c>
      <c r="I79">
        <v>84</v>
      </c>
      <c r="L79" s="21">
        <v>0.23</v>
      </c>
    </row>
    <row r="80" spans="3:12" x14ac:dyDescent="0.25">
      <c r="C80" t="s">
        <v>534</v>
      </c>
      <c r="H80" t="s">
        <v>146</v>
      </c>
      <c r="I80">
        <v>96</v>
      </c>
      <c r="L80" s="21">
        <v>0.24</v>
      </c>
    </row>
    <row r="81" spans="3:12" x14ac:dyDescent="0.25">
      <c r="C81" t="s">
        <v>535</v>
      </c>
      <c r="H81" t="s">
        <v>147</v>
      </c>
      <c r="I81">
        <v>108</v>
      </c>
      <c r="L81" s="21">
        <v>0.25</v>
      </c>
    </row>
    <row r="82" spans="3:12" x14ac:dyDescent="0.25">
      <c r="C82" t="s">
        <v>536</v>
      </c>
      <c r="H82" t="s">
        <v>148</v>
      </c>
      <c r="I82">
        <v>120</v>
      </c>
      <c r="L82" s="21">
        <v>0.26</v>
      </c>
    </row>
    <row r="83" spans="3:12" x14ac:dyDescent="0.25">
      <c r="C83" t="s">
        <v>537</v>
      </c>
      <c r="L83" s="21">
        <v>0.27</v>
      </c>
    </row>
    <row r="84" spans="3:12" x14ac:dyDescent="0.25">
      <c r="C84" t="s">
        <v>538</v>
      </c>
      <c r="L84" s="21">
        <v>0.28000000000000003</v>
      </c>
    </row>
    <row r="85" spans="3:12" x14ac:dyDescent="0.25">
      <c r="C85" t="s">
        <v>539</v>
      </c>
      <c r="L85" s="21">
        <v>0.28999999999999998</v>
      </c>
    </row>
    <row r="86" spans="3:12" x14ac:dyDescent="0.25">
      <c r="C86" t="s">
        <v>540</v>
      </c>
      <c r="L86" s="21">
        <v>0.3</v>
      </c>
    </row>
    <row r="87" spans="3:12" x14ac:dyDescent="0.25">
      <c r="C87" t="s">
        <v>541</v>
      </c>
      <c r="L87" s="21">
        <v>0.31</v>
      </c>
    </row>
    <row r="88" spans="3:12" x14ac:dyDescent="0.25">
      <c r="C88" t="s">
        <v>542</v>
      </c>
      <c r="E88" t="s">
        <v>487</v>
      </c>
      <c r="L88" s="21">
        <v>0.32</v>
      </c>
    </row>
    <row r="89" spans="3:12" x14ac:dyDescent="0.25">
      <c r="C89" t="s">
        <v>543</v>
      </c>
      <c r="E89" t="s">
        <v>502</v>
      </c>
      <c r="L89" s="21">
        <v>0.33</v>
      </c>
    </row>
    <row r="90" spans="3:12" x14ac:dyDescent="0.25">
      <c r="C90" t="s">
        <v>544</v>
      </c>
      <c r="E90" t="s">
        <v>488</v>
      </c>
      <c r="L90" s="21">
        <v>0.34</v>
      </c>
    </row>
    <row r="91" spans="3:12" x14ac:dyDescent="0.25">
      <c r="C91" t="s">
        <v>545</v>
      </c>
      <c r="E91" t="s">
        <v>489</v>
      </c>
      <c r="L91" s="21">
        <v>0.35</v>
      </c>
    </row>
    <row r="92" spans="3:12" x14ac:dyDescent="0.25">
      <c r="C92" t="s">
        <v>546</v>
      </c>
      <c r="E92" t="s">
        <v>490</v>
      </c>
      <c r="L92" s="21">
        <v>0.36</v>
      </c>
    </row>
    <row r="93" spans="3:12" x14ac:dyDescent="0.25">
      <c r="C93" t="s">
        <v>547</v>
      </c>
      <c r="E93" t="s">
        <v>491</v>
      </c>
      <c r="L93" s="21">
        <v>0.37</v>
      </c>
    </row>
    <row r="94" spans="3:12" x14ac:dyDescent="0.25">
      <c r="C94" t="s">
        <v>548</v>
      </c>
      <c r="E94" t="s">
        <v>501</v>
      </c>
      <c r="L94" s="21">
        <v>0.38</v>
      </c>
    </row>
    <row r="95" spans="3:12" x14ac:dyDescent="0.25">
      <c r="C95" t="s">
        <v>549</v>
      </c>
      <c r="E95" t="s">
        <v>492</v>
      </c>
      <c r="L95" s="21">
        <v>0.39</v>
      </c>
    </row>
    <row r="96" spans="3:12" x14ac:dyDescent="0.25">
      <c r="C96" t="s">
        <v>550</v>
      </c>
      <c r="E96" t="s">
        <v>500</v>
      </c>
      <c r="L96" s="21">
        <v>0.4</v>
      </c>
    </row>
    <row r="97" spans="3:12" x14ac:dyDescent="0.25">
      <c r="C97" t="s">
        <v>551</v>
      </c>
      <c r="E97" t="s">
        <v>509</v>
      </c>
      <c r="L97" s="21">
        <v>0.41</v>
      </c>
    </row>
    <row r="98" spans="3:12" x14ac:dyDescent="0.25">
      <c r="C98" t="s">
        <v>552</v>
      </c>
      <c r="E98" t="s">
        <v>505</v>
      </c>
      <c r="L98" s="21">
        <v>0.42</v>
      </c>
    </row>
    <row r="99" spans="3:12" x14ac:dyDescent="0.25">
      <c r="C99" t="s">
        <v>553</v>
      </c>
      <c r="E99" t="s">
        <v>507</v>
      </c>
      <c r="L99" s="21">
        <v>0.43</v>
      </c>
    </row>
    <row r="100" spans="3:12" x14ac:dyDescent="0.25">
      <c r="C100" t="s">
        <v>554</v>
      </c>
      <c r="E100" t="s">
        <v>493</v>
      </c>
      <c r="L100" s="21">
        <v>0.44</v>
      </c>
    </row>
    <row r="101" spans="3:12" x14ac:dyDescent="0.25">
      <c r="C101" t="s">
        <v>555</v>
      </c>
      <c r="E101" t="s">
        <v>497</v>
      </c>
      <c r="L101" s="21">
        <v>0.45</v>
      </c>
    </row>
    <row r="102" spans="3:12" x14ac:dyDescent="0.25">
      <c r="C102" t="s">
        <v>556</v>
      </c>
      <c r="E102" t="s">
        <v>506</v>
      </c>
      <c r="L102" s="21">
        <v>0.46</v>
      </c>
    </row>
    <row r="103" spans="3:12" x14ac:dyDescent="0.25">
      <c r="C103" t="s">
        <v>557</v>
      </c>
      <c r="E103" t="s">
        <v>494</v>
      </c>
      <c r="L103" s="21">
        <v>0.47</v>
      </c>
    </row>
    <row r="104" spans="3:12" x14ac:dyDescent="0.25">
      <c r="C104" t="s">
        <v>558</v>
      </c>
      <c r="E104" t="s">
        <v>495</v>
      </c>
      <c r="L104" s="21">
        <v>0.48</v>
      </c>
    </row>
    <row r="105" spans="3:12" x14ac:dyDescent="0.25">
      <c r="C105" t="s">
        <v>559</v>
      </c>
      <c r="E105" t="s">
        <v>496</v>
      </c>
      <c r="L105" s="21">
        <v>0.49</v>
      </c>
    </row>
    <row r="106" spans="3:12" x14ac:dyDescent="0.25">
      <c r="C106" t="s">
        <v>560</v>
      </c>
      <c r="E106" t="s">
        <v>498</v>
      </c>
      <c r="L106" s="21">
        <v>0.5</v>
      </c>
    </row>
    <row r="107" spans="3:12" x14ac:dyDescent="0.25">
      <c r="C107" t="s">
        <v>561</v>
      </c>
      <c r="E107" t="s">
        <v>510</v>
      </c>
      <c r="L107" s="21">
        <v>0.51</v>
      </c>
    </row>
    <row r="108" spans="3:12" x14ac:dyDescent="0.25">
      <c r="C108" t="s">
        <v>562</v>
      </c>
      <c r="E108" t="s">
        <v>508</v>
      </c>
      <c r="L108" s="21">
        <v>0.52</v>
      </c>
    </row>
    <row r="109" spans="3:12" x14ac:dyDescent="0.25">
      <c r="C109" t="s">
        <v>563</v>
      </c>
      <c r="E109" t="s">
        <v>504</v>
      </c>
      <c r="L109" s="21">
        <v>0.53</v>
      </c>
    </row>
    <row r="110" spans="3:12" x14ac:dyDescent="0.25">
      <c r="C110" t="s">
        <v>564</v>
      </c>
      <c r="E110" t="s">
        <v>503</v>
      </c>
      <c r="L110" s="21">
        <v>0.54</v>
      </c>
    </row>
    <row r="111" spans="3:12" x14ac:dyDescent="0.25">
      <c r="C111" t="s">
        <v>565</v>
      </c>
      <c r="E111" t="s">
        <v>499</v>
      </c>
      <c r="L111" s="21">
        <v>0.55000000000000004</v>
      </c>
    </row>
    <row r="112" spans="3:12" x14ac:dyDescent="0.25">
      <c r="C112" t="s">
        <v>566</v>
      </c>
      <c r="L112" s="21">
        <v>0.56000000000000005</v>
      </c>
    </row>
    <row r="113" spans="3:12" x14ac:dyDescent="0.25">
      <c r="C113" t="s">
        <v>567</v>
      </c>
      <c r="L113" s="21">
        <v>0.56999999999999995</v>
      </c>
    </row>
    <row r="114" spans="3:12" x14ac:dyDescent="0.25">
      <c r="C114" t="s">
        <v>568</v>
      </c>
      <c r="L114" s="21">
        <v>0.57999999999999996</v>
      </c>
    </row>
    <row r="115" spans="3:12" x14ac:dyDescent="0.25">
      <c r="C115" t="s">
        <v>569</v>
      </c>
      <c r="L115" s="21">
        <v>0.59</v>
      </c>
    </row>
    <row r="116" spans="3:12" x14ac:dyDescent="0.25">
      <c r="C116" t="s">
        <v>570</v>
      </c>
      <c r="L116" s="21">
        <v>0.6</v>
      </c>
    </row>
    <row r="117" spans="3:12" x14ac:dyDescent="0.25">
      <c r="C117" t="s">
        <v>571</v>
      </c>
      <c r="L117" s="21">
        <v>0.61</v>
      </c>
    </row>
    <row r="118" spans="3:12" x14ac:dyDescent="0.25">
      <c r="C118" t="s">
        <v>572</v>
      </c>
      <c r="L118" s="21">
        <v>0.62</v>
      </c>
    </row>
    <row r="119" spans="3:12" x14ac:dyDescent="0.25">
      <c r="C119" t="s">
        <v>573</v>
      </c>
      <c r="L119" s="21">
        <v>0.63</v>
      </c>
    </row>
    <row r="120" spans="3:12" x14ac:dyDescent="0.25">
      <c r="C120" t="s">
        <v>574</v>
      </c>
      <c r="L120" s="21">
        <v>0.64</v>
      </c>
    </row>
    <row r="121" spans="3:12" x14ac:dyDescent="0.25">
      <c r="C121" t="s">
        <v>575</v>
      </c>
      <c r="L121" s="21">
        <v>0.65</v>
      </c>
    </row>
    <row r="122" spans="3:12" x14ac:dyDescent="0.25">
      <c r="C122" t="s">
        <v>576</v>
      </c>
      <c r="L122" s="21">
        <v>0.66</v>
      </c>
    </row>
    <row r="123" spans="3:12" x14ac:dyDescent="0.25">
      <c r="C123" t="s">
        <v>577</v>
      </c>
      <c r="L123" s="21">
        <v>0.67</v>
      </c>
    </row>
    <row r="124" spans="3:12" x14ac:dyDescent="0.25">
      <c r="C124" t="s">
        <v>578</v>
      </c>
      <c r="L124" s="21">
        <v>0.68</v>
      </c>
    </row>
    <row r="125" spans="3:12" x14ac:dyDescent="0.25">
      <c r="C125" t="s">
        <v>579</v>
      </c>
      <c r="L125" s="21">
        <v>0.69</v>
      </c>
    </row>
    <row r="126" spans="3:12" x14ac:dyDescent="0.25">
      <c r="C126" t="s">
        <v>580</v>
      </c>
      <c r="L126" s="21">
        <v>0.7</v>
      </c>
    </row>
    <row r="127" spans="3:12" x14ac:dyDescent="0.25">
      <c r="C127" t="s">
        <v>581</v>
      </c>
      <c r="L127" s="21">
        <v>0.71</v>
      </c>
    </row>
    <row r="128" spans="3:12" x14ac:dyDescent="0.25">
      <c r="C128" t="s">
        <v>582</v>
      </c>
      <c r="L128" s="21">
        <v>0.72</v>
      </c>
    </row>
    <row r="129" spans="3:12" x14ac:dyDescent="0.25">
      <c r="C129" t="s">
        <v>583</v>
      </c>
      <c r="L129" s="21">
        <v>0.73</v>
      </c>
    </row>
    <row r="130" spans="3:12" x14ac:dyDescent="0.25">
      <c r="C130" t="s">
        <v>584</v>
      </c>
      <c r="L130" s="21">
        <v>0.74</v>
      </c>
    </row>
    <row r="131" spans="3:12" x14ac:dyDescent="0.25">
      <c r="C131" t="s">
        <v>585</v>
      </c>
      <c r="L131" s="21">
        <v>0.75</v>
      </c>
    </row>
    <row r="132" spans="3:12" x14ac:dyDescent="0.25">
      <c r="C132" t="s">
        <v>586</v>
      </c>
      <c r="L132" s="21">
        <v>0.76</v>
      </c>
    </row>
    <row r="133" spans="3:12" x14ac:dyDescent="0.25">
      <c r="C133" t="s">
        <v>587</v>
      </c>
      <c r="L133" s="21">
        <v>0.77</v>
      </c>
    </row>
    <row r="134" spans="3:12" x14ac:dyDescent="0.25">
      <c r="C134" t="s">
        <v>588</v>
      </c>
      <c r="L134" s="21">
        <v>0.78</v>
      </c>
    </row>
    <row r="135" spans="3:12" x14ac:dyDescent="0.25">
      <c r="C135" t="s">
        <v>589</v>
      </c>
      <c r="L135" s="21">
        <v>0.79</v>
      </c>
    </row>
    <row r="136" spans="3:12" x14ac:dyDescent="0.25">
      <c r="C136" t="s">
        <v>590</v>
      </c>
      <c r="L136" s="21">
        <v>0.8</v>
      </c>
    </row>
    <row r="137" spans="3:12" x14ac:dyDescent="0.25">
      <c r="C137" t="s">
        <v>591</v>
      </c>
      <c r="L137" s="21">
        <v>0.81</v>
      </c>
    </row>
    <row r="138" spans="3:12" x14ac:dyDescent="0.25">
      <c r="C138" t="s">
        <v>592</v>
      </c>
      <c r="L138" s="21">
        <v>0.82</v>
      </c>
    </row>
    <row r="139" spans="3:12" x14ac:dyDescent="0.25">
      <c r="C139" t="s">
        <v>593</v>
      </c>
      <c r="L139" s="21">
        <v>0.83</v>
      </c>
    </row>
    <row r="140" spans="3:12" x14ac:dyDescent="0.25">
      <c r="C140" t="s">
        <v>594</v>
      </c>
      <c r="L140" s="21">
        <v>0.84</v>
      </c>
    </row>
    <row r="141" spans="3:12" x14ac:dyDescent="0.25">
      <c r="C141" t="s">
        <v>595</v>
      </c>
      <c r="L141" s="21">
        <v>0.85</v>
      </c>
    </row>
    <row r="142" spans="3:12" x14ac:dyDescent="0.25">
      <c r="C142" t="s">
        <v>596</v>
      </c>
      <c r="L142" s="21">
        <v>0.86</v>
      </c>
    </row>
    <row r="143" spans="3:12" x14ac:dyDescent="0.25">
      <c r="C143" t="s">
        <v>597</v>
      </c>
      <c r="L143" s="21">
        <v>0.87</v>
      </c>
    </row>
    <row r="144" spans="3:12" x14ac:dyDescent="0.25">
      <c r="C144" t="s">
        <v>598</v>
      </c>
      <c r="L144" s="21">
        <v>0.88</v>
      </c>
    </row>
    <row r="145" spans="3:12" x14ac:dyDescent="0.25">
      <c r="C145" t="s">
        <v>599</v>
      </c>
      <c r="L145" s="21">
        <v>0.89</v>
      </c>
    </row>
    <row r="146" spans="3:12" x14ac:dyDescent="0.25">
      <c r="C146" t="s">
        <v>600</v>
      </c>
      <c r="L146" s="21">
        <v>0.9</v>
      </c>
    </row>
    <row r="147" spans="3:12" x14ac:dyDescent="0.25">
      <c r="C147" t="s">
        <v>601</v>
      </c>
      <c r="L147" s="21">
        <v>0.91</v>
      </c>
    </row>
    <row r="148" spans="3:12" x14ac:dyDescent="0.25">
      <c r="C148" t="s">
        <v>602</v>
      </c>
      <c r="L148" s="21">
        <v>0.92</v>
      </c>
    </row>
    <row r="149" spans="3:12" x14ac:dyDescent="0.25">
      <c r="C149" t="s">
        <v>603</v>
      </c>
      <c r="L149" s="21">
        <v>0.93</v>
      </c>
    </row>
    <row r="150" spans="3:12" x14ac:dyDescent="0.25">
      <c r="C150" t="s">
        <v>604</v>
      </c>
      <c r="L150" s="21">
        <v>0.94</v>
      </c>
    </row>
    <row r="151" spans="3:12" x14ac:dyDescent="0.25">
      <c r="C151" t="s">
        <v>605</v>
      </c>
      <c r="L151" s="21">
        <v>0.95</v>
      </c>
    </row>
    <row r="152" spans="3:12" x14ac:dyDescent="0.25">
      <c r="C152" t="s">
        <v>606</v>
      </c>
      <c r="L152" s="21">
        <v>0.96</v>
      </c>
    </row>
    <row r="153" spans="3:12" x14ac:dyDescent="0.25">
      <c r="C153" t="s">
        <v>607</v>
      </c>
      <c r="L153" s="21">
        <v>0.97</v>
      </c>
    </row>
    <row r="154" spans="3:12" x14ac:dyDescent="0.25">
      <c r="C154" t="s">
        <v>608</v>
      </c>
      <c r="L154" s="21">
        <v>0.98</v>
      </c>
    </row>
    <row r="155" spans="3:12" x14ac:dyDescent="0.25">
      <c r="C155" t="s">
        <v>609</v>
      </c>
      <c r="L155" s="21">
        <v>0.99</v>
      </c>
    </row>
    <row r="156" spans="3:12" x14ac:dyDescent="0.25">
      <c r="C156" t="s">
        <v>610</v>
      </c>
      <c r="L156" s="21">
        <v>1</v>
      </c>
    </row>
    <row r="157" spans="3:12" x14ac:dyDescent="0.25">
      <c r="C157" t="s">
        <v>611</v>
      </c>
    </row>
    <row r="158" spans="3:12" x14ac:dyDescent="0.25">
      <c r="C158" t="s">
        <v>612</v>
      </c>
    </row>
    <row r="159" spans="3:12" x14ac:dyDescent="0.25">
      <c r="C159" t="s">
        <v>613</v>
      </c>
    </row>
    <row r="160" spans="3:12" x14ac:dyDescent="0.25">
      <c r="C160" t="s">
        <v>614</v>
      </c>
    </row>
    <row r="161" spans="3:3" x14ac:dyDescent="0.25">
      <c r="C161" t="s">
        <v>615</v>
      </c>
    </row>
    <row r="162" spans="3:3" x14ac:dyDescent="0.25">
      <c r="C162" t="s">
        <v>616</v>
      </c>
    </row>
    <row r="163" spans="3:3" x14ac:dyDescent="0.25">
      <c r="C163" t="s">
        <v>617</v>
      </c>
    </row>
    <row r="164" spans="3:3" x14ac:dyDescent="0.25">
      <c r="C164" t="s">
        <v>618</v>
      </c>
    </row>
    <row r="165" spans="3:3" x14ac:dyDescent="0.25">
      <c r="C165" t="s">
        <v>619</v>
      </c>
    </row>
  </sheetData>
  <sheetProtection algorithmName="SHA-512" hashValue="SFoaGY32wxRAi91lGfTSZbEZTroSHVonT8rGvVoavn4PcbfL+teRk4/SUIW/lxraaETlqfe1JsDLNUC1tZPsug==" saltValue="KULw8iEJA3VuQrmI0mAzeQ==" spinCount="100000" sheet="1" objects="1" scenarios="1"/>
  <mergeCells count="31">
    <mergeCell ref="D42:J42"/>
    <mergeCell ref="D43:J43"/>
    <mergeCell ref="D44:J44"/>
    <mergeCell ref="D45:J45"/>
    <mergeCell ref="D30:J30"/>
    <mergeCell ref="D31:J31"/>
    <mergeCell ref="D34:J34"/>
    <mergeCell ref="D41:J41"/>
    <mergeCell ref="D35:J35"/>
    <mergeCell ref="D36:J36"/>
    <mergeCell ref="D37:J37"/>
    <mergeCell ref="D38:J38"/>
    <mergeCell ref="D24:J24"/>
    <mergeCell ref="D25:J25"/>
    <mergeCell ref="D26:J26"/>
    <mergeCell ref="D28:J28"/>
    <mergeCell ref="D29:J29"/>
    <mergeCell ref="D27:J27"/>
    <mergeCell ref="B2:K2"/>
    <mergeCell ref="D10:J10"/>
    <mergeCell ref="D11:J11"/>
    <mergeCell ref="D12:J12"/>
    <mergeCell ref="D13:J13"/>
    <mergeCell ref="D20:J20"/>
    <mergeCell ref="D23:J23"/>
    <mergeCell ref="D14:J14"/>
    <mergeCell ref="D16:J16"/>
    <mergeCell ref="D17:J17"/>
    <mergeCell ref="D18:J18"/>
    <mergeCell ref="D19:J19"/>
    <mergeCell ref="D15:J15"/>
  </mergeCells>
  <dataValidations count="12">
    <dataValidation type="list" allowBlank="1" showInputMessage="1" showErrorMessage="1" sqref="C36">
      <formula1>$E$60:$E$63</formula1>
    </dataValidation>
    <dataValidation type="list" allowBlank="1" showInputMessage="1" showErrorMessage="1" sqref="C11">
      <formula1>$C$53:$C$59</formula1>
    </dataValidation>
    <dataValidation type="list" allowBlank="1" showInputMessage="1" showErrorMessage="1" sqref="C43:C45">
      <formula1>$I$57:$I$60</formula1>
    </dataValidation>
    <dataValidation type="list" allowBlank="1" showInputMessage="1" showErrorMessage="1" sqref="C42">
      <formula1>$I$57:$I$63</formula1>
    </dataValidation>
    <dataValidation type="list" allowBlank="1" showInputMessage="1" showErrorMessage="1" sqref="C25">
      <formula1>$E$69:$E$70</formula1>
    </dataValidation>
    <dataValidation type="list" allowBlank="1" showInputMessage="1" showErrorMessage="1" sqref="C37:C38">
      <formula1>$E$65:$E$67</formula1>
    </dataValidation>
    <dataValidation type="list" allowBlank="1" showInputMessage="1" showErrorMessage="1" sqref="C24">
      <formula1>$I$67:$I$71</formula1>
    </dataValidation>
    <dataValidation type="list" allowBlank="1" showInputMessage="1" showErrorMessage="1" sqref="C27 C31">
      <formula1>$E$60:$E$61</formula1>
    </dataValidation>
    <dataValidation type="list" allowBlank="1" showInputMessage="1" showErrorMessage="1" sqref="C14">
      <formula1>$E$88:$E$111</formula1>
    </dataValidation>
    <dataValidation type="list" allowBlank="1" showInputMessage="1" showErrorMessage="1" sqref="C15">
      <formula1>$G$57:$G$58</formula1>
    </dataValidation>
    <dataValidation type="list" allowBlank="1" showInputMessage="1" showErrorMessage="1" sqref="C13">
      <formula1>$C$70:$C$165</formula1>
    </dataValidation>
    <dataValidation type="list" allowBlank="1" showInputMessage="1" showErrorMessage="1" sqref="C35">
      <formula1>$E$57:$E$58</formula1>
    </dataValidation>
  </dataValidations>
  <hyperlinks>
    <hyperlink ref="K25" r:id="rId1"/>
    <hyperlink ref="K26" r:id="rId2"/>
    <hyperlink ref="K28" r:id="rId3" display="https://www.lecoindesentrepreneurs.fr/simulateur-charges-sociales-dirigeants-tns-salaries/"/>
    <hyperlink ref="K29" r:id="rId4"/>
    <hyperlink ref="K30" r:id="rId5"/>
    <hyperlink ref="K11" r:id="rId6"/>
    <hyperlink ref="K35" r:id="rId7" display="Bénéfices : IR ou IS ?"/>
    <hyperlink ref="K36" r:id="rId8"/>
    <hyperlink ref="K43" r:id="rId9"/>
    <hyperlink ref="K44:K45" r:id="rId10" display="Les délais de paiement entre professionnels"/>
    <hyperlink ref="K15" r:id="rId11"/>
  </hyperlinks>
  <pageMargins left="0.7" right="0.7" top="0.75" bottom="0.75" header="0.3" footer="0.3"/>
  <pageSetup paperSize="9" orientation="portrait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I64"/>
  <sheetViews>
    <sheetView showGridLines="0" topLeftCell="A31" zoomScale="90" zoomScaleNormal="90" workbookViewId="0">
      <selection activeCell="B55" sqref="B55"/>
    </sheetView>
  </sheetViews>
  <sheetFormatPr baseColWidth="10" defaultRowHeight="15" x14ac:dyDescent="0.25"/>
  <cols>
    <col min="1" max="1" width="1.85546875" customWidth="1"/>
    <col min="2" max="2" width="48" customWidth="1"/>
    <col min="3" max="3" width="21.5703125" customWidth="1"/>
    <col min="4" max="4" width="19.85546875" customWidth="1"/>
    <col min="5" max="5" width="17.7109375" customWidth="1"/>
    <col min="6" max="6" width="17.42578125" customWidth="1"/>
    <col min="7" max="7" width="18.140625" customWidth="1"/>
    <col min="8" max="8" width="57.140625" customWidth="1"/>
    <col min="9" max="9" width="1.85546875" customWidth="1"/>
    <col min="10" max="11" width="13.5703125" customWidth="1"/>
    <col min="12" max="12" width="2.7109375" customWidth="1"/>
  </cols>
  <sheetData>
    <row r="1" spans="1:9" ht="5.0999999999999996" customHeight="1" x14ac:dyDescent="0.25">
      <c r="A1" s="38"/>
      <c r="B1" s="31"/>
      <c r="C1" s="31"/>
      <c r="D1" s="31"/>
      <c r="E1" s="31"/>
      <c r="F1" s="31"/>
      <c r="G1" s="31"/>
      <c r="H1" s="31"/>
      <c r="I1" s="39"/>
    </row>
    <row r="2" spans="1:9" ht="33.75" customHeight="1" x14ac:dyDescent="0.25">
      <c r="A2" s="38"/>
      <c r="B2" s="365" t="s">
        <v>360</v>
      </c>
      <c r="C2" s="365"/>
      <c r="D2" s="365"/>
      <c r="E2" s="365"/>
      <c r="F2" s="365"/>
      <c r="G2" s="365"/>
      <c r="H2" s="365"/>
      <c r="I2" s="39"/>
    </row>
    <row r="3" spans="1:9" x14ac:dyDescent="0.25">
      <c r="A3" s="38"/>
      <c r="B3" s="31"/>
      <c r="C3" s="31"/>
      <c r="D3" s="31"/>
      <c r="E3" s="31"/>
      <c r="F3" s="31"/>
      <c r="G3" s="31"/>
      <c r="H3" s="31"/>
      <c r="I3" s="39"/>
    </row>
    <row r="4" spans="1:9" x14ac:dyDescent="0.25">
      <c r="A4" s="38"/>
      <c r="B4" s="258" t="s">
        <v>27</v>
      </c>
      <c r="C4" s="259"/>
      <c r="D4" s="259"/>
      <c r="E4" s="259"/>
      <c r="F4" s="260"/>
      <c r="G4" s="31"/>
      <c r="H4" s="29"/>
      <c r="I4" s="39"/>
    </row>
    <row r="5" spans="1:9" x14ac:dyDescent="0.25">
      <c r="A5" s="38"/>
      <c r="B5" s="266" t="s">
        <v>163</v>
      </c>
      <c r="C5" s="262"/>
      <c r="D5" s="262"/>
      <c r="E5" s="262"/>
      <c r="F5" s="263"/>
      <c r="G5" s="31"/>
      <c r="H5" s="29"/>
      <c r="I5" s="39"/>
    </row>
    <row r="6" spans="1:9" x14ac:dyDescent="0.25">
      <c r="A6" s="38"/>
      <c r="B6" s="261" t="s">
        <v>650</v>
      </c>
      <c r="C6" s="262"/>
      <c r="D6" s="262"/>
      <c r="E6" s="262"/>
      <c r="F6" s="263"/>
      <c r="G6" s="31"/>
      <c r="H6" s="29"/>
      <c r="I6" s="39"/>
    </row>
    <row r="7" spans="1:9" x14ac:dyDescent="0.25">
      <c r="A7" s="38"/>
      <c r="B7" s="261" t="s">
        <v>625</v>
      </c>
      <c r="C7" s="262"/>
      <c r="D7" s="262"/>
      <c r="E7" s="262"/>
      <c r="F7" s="263"/>
      <c r="G7" s="31"/>
      <c r="H7" s="29"/>
      <c r="I7" s="39"/>
    </row>
    <row r="8" spans="1:9" x14ac:dyDescent="0.25">
      <c r="A8" s="38"/>
      <c r="B8" s="261" t="s">
        <v>651</v>
      </c>
      <c r="C8" s="262"/>
      <c r="D8" s="262"/>
      <c r="E8" s="262"/>
      <c r="F8" s="263"/>
      <c r="G8" s="31"/>
      <c r="H8" s="29"/>
      <c r="I8" s="39"/>
    </row>
    <row r="9" spans="1:9" x14ac:dyDescent="0.25">
      <c r="A9" s="38"/>
      <c r="B9" s="269" t="s">
        <v>361</v>
      </c>
      <c r="C9" s="262"/>
      <c r="D9" s="262"/>
      <c r="E9" s="262"/>
      <c r="F9" s="263"/>
      <c r="G9" s="31"/>
      <c r="H9" s="29"/>
      <c r="I9" s="39"/>
    </row>
    <row r="10" spans="1:9" x14ac:dyDescent="0.25">
      <c r="A10" s="38"/>
      <c r="B10" s="266" t="s">
        <v>623</v>
      </c>
      <c r="C10" s="262"/>
      <c r="D10" s="262"/>
      <c r="E10" s="262"/>
      <c r="F10" s="263"/>
      <c r="G10" s="31"/>
      <c r="H10" s="29"/>
      <c r="I10" s="39"/>
    </row>
    <row r="11" spans="1:9" x14ac:dyDescent="0.25">
      <c r="A11" s="38"/>
      <c r="B11" s="266" t="s">
        <v>624</v>
      </c>
      <c r="C11" s="262"/>
      <c r="D11" s="262"/>
      <c r="E11" s="262"/>
      <c r="F11" s="263"/>
      <c r="G11" s="31"/>
      <c r="H11" s="31"/>
      <c r="I11" s="39"/>
    </row>
    <row r="12" spans="1:9" x14ac:dyDescent="0.25">
      <c r="A12" s="38"/>
      <c r="B12" s="270" t="s">
        <v>395</v>
      </c>
      <c r="C12" s="271" t="s">
        <v>396</v>
      </c>
      <c r="D12" s="264"/>
      <c r="E12" s="264"/>
      <c r="F12" s="265"/>
      <c r="G12" s="31"/>
      <c r="H12" s="31"/>
      <c r="I12" s="39"/>
    </row>
    <row r="13" spans="1:9" x14ac:dyDescent="0.25">
      <c r="A13" s="38"/>
      <c r="B13" s="31"/>
      <c r="C13" s="31"/>
      <c r="D13" s="31"/>
      <c r="E13" s="31"/>
      <c r="F13" s="31"/>
      <c r="G13" s="31"/>
      <c r="H13" s="31"/>
      <c r="I13" s="39"/>
    </row>
    <row r="14" spans="1:9" x14ac:dyDescent="0.25">
      <c r="A14" s="38"/>
      <c r="B14" s="389" t="s">
        <v>620</v>
      </c>
      <c r="C14" s="387" t="s">
        <v>353</v>
      </c>
      <c r="D14" s="387" t="s">
        <v>354</v>
      </c>
      <c r="E14" s="387" t="s">
        <v>265</v>
      </c>
      <c r="F14" s="388" t="s">
        <v>355</v>
      </c>
      <c r="G14" s="388" t="s">
        <v>622</v>
      </c>
      <c r="H14" s="31"/>
      <c r="I14" s="39"/>
    </row>
    <row r="15" spans="1:9" x14ac:dyDescent="0.25">
      <c r="A15" s="38"/>
      <c r="B15" s="390"/>
      <c r="C15" s="387"/>
      <c r="D15" s="387"/>
      <c r="E15" s="387"/>
      <c r="F15" s="388"/>
      <c r="G15" s="388"/>
      <c r="H15" s="31"/>
      <c r="I15" s="39"/>
    </row>
    <row r="16" spans="1:9" x14ac:dyDescent="0.25">
      <c r="A16" s="38"/>
      <c r="B16" s="344" t="s">
        <v>621</v>
      </c>
      <c r="C16" s="345">
        <v>15000</v>
      </c>
      <c r="D16" s="346" t="s">
        <v>146</v>
      </c>
      <c r="E16" s="347" t="s">
        <v>150</v>
      </c>
      <c r="F16" s="348">
        <v>72</v>
      </c>
      <c r="G16" s="349">
        <v>0.2</v>
      </c>
      <c r="H16" s="31"/>
      <c r="I16" s="39"/>
    </row>
    <row r="17" spans="1:9" x14ac:dyDescent="0.25">
      <c r="A17" s="38"/>
      <c r="B17" s="31"/>
      <c r="C17" s="31"/>
      <c r="D17" s="31"/>
      <c r="E17" s="31"/>
      <c r="F17" s="31"/>
      <c r="G17" s="31"/>
      <c r="H17" s="31"/>
      <c r="I17" s="39"/>
    </row>
    <row r="18" spans="1:9" ht="29.25" customHeight="1" x14ac:dyDescent="0.25">
      <c r="A18" s="38"/>
      <c r="B18" s="391"/>
      <c r="C18" s="386" t="s">
        <v>353</v>
      </c>
      <c r="D18" s="386" t="s">
        <v>354</v>
      </c>
      <c r="E18" s="386" t="s">
        <v>265</v>
      </c>
      <c r="F18" s="385" t="s">
        <v>355</v>
      </c>
      <c r="G18" s="385" t="s">
        <v>622</v>
      </c>
      <c r="H18" s="31"/>
      <c r="I18" s="39"/>
    </row>
    <row r="19" spans="1:9" x14ac:dyDescent="0.25">
      <c r="A19" s="38"/>
      <c r="B19" s="392"/>
      <c r="C19" s="386"/>
      <c r="D19" s="386"/>
      <c r="E19" s="386"/>
      <c r="F19" s="385"/>
      <c r="G19" s="385"/>
      <c r="H19" s="31"/>
      <c r="I19" s="39"/>
    </row>
    <row r="20" spans="1:9" s="28" customFormat="1" ht="20.100000000000001" customHeight="1" x14ac:dyDescent="0.25">
      <c r="A20" s="40"/>
      <c r="B20" s="194" t="s">
        <v>356</v>
      </c>
      <c r="C20" s="382"/>
      <c r="D20" s="383"/>
      <c r="E20" s="383"/>
      <c r="F20" s="383"/>
      <c r="G20" s="384"/>
      <c r="H20" s="32"/>
      <c r="I20" s="41"/>
    </row>
    <row r="21" spans="1:9" ht="15" customHeight="1" x14ac:dyDescent="0.25">
      <c r="A21" s="38"/>
      <c r="B21" s="293" t="s">
        <v>486</v>
      </c>
      <c r="C21" s="294"/>
      <c r="D21" s="295"/>
      <c r="E21" s="296"/>
      <c r="F21" s="297"/>
      <c r="G21" s="298">
        <v>0.2</v>
      </c>
      <c r="H21" s="31"/>
      <c r="I21" s="39"/>
    </row>
    <row r="22" spans="1:9" ht="15" customHeight="1" x14ac:dyDescent="0.25">
      <c r="A22" s="38"/>
      <c r="B22" s="293"/>
      <c r="C22" s="294"/>
      <c r="D22" s="295"/>
      <c r="E22" s="296"/>
      <c r="F22" s="297"/>
      <c r="G22" s="298">
        <v>0.2</v>
      </c>
      <c r="H22" s="31"/>
      <c r="I22" s="39"/>
    </row>
    <row r="23" spans="1:9" ht="15" customHeight="1" x14ac:dyDescent="0.25">
      <c r="A23" s="38"/>
      <c r="B23" s="293"/>
      <c r="C23" s="294"/>
      <c r="D23" s="295"/>
      <c r="E23" s="296"/>
      <c r="F23" s="297"/>
      <c r="G23" s="298">
        <v>0.2</v>
      </c>
      <c r="H23" s="31"/>
      <c r="I23" s="39"/>
    </row>
    <row r="24" spans="1:9" ht="15" customHeight="1" x14ac:dyDescent="0.25">
      <c r="A24" s="38"/>
      <c r="B24" s="293"/>
      <c r="C24" s="294"/>
      <c r="D24" s="295"/>
      <c r="E24" s="296"/>
      <c r="F24" s="297"/>
      <c r="G24" s="298">
        <v>0.2</v>
      </c>
      <c r="H24" s="31"/>
      <c r="I24" s="39"/>
    </row>
    <row r="25" spans="1:9" ht="15" customHeight="1" x14ac:dyDescent="0.25">
      <c r="A25" s="38"/>
      <c r="B25" s="293"/>
      <c r="C25" s="294"/>
      <c r="D25" s="295"/>
      <c r="E25" s="296"/>
      <c r="F25" s="297"/>
      <c r="G25" s="298">
        <v>0.2</v>
      </c>
      <c r="H25" s="31"/>
      <c r="I25" s="39"/>
    </row>
    <row r="26" spans="1:9" ht="15" customHeight="1" x14ac:dyDescent="0.25">
      <c r="A26" s="38"/>
      <c r="B26" s="293"/>
      <c r="C26" s="294"/>
      <c r="D26" s="295"/>
      <c r="E26" s="296"/>
      <c r="F26" s="297"/>
      <c r="G26" s="298">
        <v>0.2</v>
      </c>
      <c r="H26" s="31"/>
      <c r="I26" s="39"/>
    </row>
    <row r="27" spans="1:9" ht="15" customHeight="1" x14ac:dyDescent="0.25">
      <c r="A27" s="38"/>
      <c r="B27" s="293"/>
      <c r="C27" s="294"/>
      <c r="D27" s="295"/>
      <c r="E27" s="296"/>
      <c r="F27" s="297"/>
      <c r="G27" s="298">
        <v>0.2</v>
      </c>
      <c r="H27" s="31"/>
      <c r="I27" s="39"/>
    </row>
    <row r="28" spans="1:9" ht="15" customHeight="1" x14ac:dyDescent="0.25">
      <c r="A28" s="38"/>
      <c r="B28" s="293"/>
      <c r="C28" s="294"/>
      <c r="D28" s="295"/>
      <c r="E28" s="296"/>
      <c r="F28" s="297"/>
      <c r="G28" s="298">
        <v>0.2</v>
      </c>
      <c r="H28" s="31"/>
      <c r="I28" s="39"/>
    </row>
    <row r="29" spans="1:9" ht="15" customHeight="1" x14ac:dyDescent="0.25">
      <c r="A29" s="38"/>
      <c r="B29" s="293"/>
      <c r="C29" s="294"/>
      <c r="D29" s="295"/>
      <c r="E29" s="296"/>
      <c r="F29" s="297"/>
      <c r="G29" s="298">
        <v>0.2</v>
      </c>
      <c r="H29" s="31"/>
      <c r="I29" s="39"/>
    </row>
    <row r="30" spans="1:9" ht="15" customHeight="1" x14ac:dyDescent="0.25">
      <c r="A30" s="38"/>
      <c r="B30" s="293"/>
      <c r="C30" s="299"/>
      <c r="D30" s="295"/>
      <c r="E30" s="296"/>
      <c r="F30" s="297"/>
      <c r="G30" s="298">
        <v>0.2</v>
      </c>
      <c r="H30" s="31"/>
      <c r="I30" s="39"/>
    </row>
    <row r="31" spans="1:9" ht="15" customHeight="1" x14ac:dyDescent="0.25">
      <c r="A31" s="38"/>
      <c r="B31" s="192" t="s">
        <v>20</v>
      </c>
      <c r="C31" s="202">
        <f>SUM(C21:C30)</f>
        <v>0</v>
      </c>
      <c r="D31" s="193"/>
      <c r="E31" s="193"/>
      <c r="F31" s="193"/>
      <c r="G31" s="193"/>
      <c r="H31" s="31"/>
      <c r="I31" s="39"/>
    </row>
    <row r="32" spans="1:9" s="28" customFormat="1" ht="20.100000000000001" customHeight="1" x14ac:dyDescent="0.25">
      <c r="A32" s="40"/>
      <c r="B32" s="194" t="s">
        <v>357</v>
      </c>
      <c r="C32" s="379"/>
      <c r="D32" s="380"/>
      <c r="E32" s="380"/>
      <c r="F32" s="380"/>
      <c r="G32" s="381"/>
      <c r="H32" s="32"/>
      <c r="I32" s="41"/>
    </row>
    <row r="33" spans="1:9" ht="15" customHeight="1" x14ac:dyDescent="0.25">
      <c r="A33" s="38"/>
      <c r="B33" s="293" t="s">
        <v>486</v>
      </c>
      <c r="C33" s="299"/>
      <c r="D33" s="295"/>
      <c r="E33" s="296"/>
      <c r="F33" s="297"/>
      <c r="G33" s="298">
        <v>0.2</v>
      </c>
      <c r="H33" s="31"/>
      <c r="I33" s="39"/>
    </row>
    <row r="34" spans="1:9" ht="15" customHeight="1" x14ac:dyDescent="0.25">
      <c r="A34" s="38"/>
      <c r="B34" s="293"/>
      <c r="C34" s="299"/>
      <c r="D34" s="295"/>
      <c r="E34" s="296"/>
      <c r="F34" s="297"/>
      <c r="G34" s="298">
        <v>0.2</v>
      </c>
      <c r="H34" s="31"/>
      <c r="I34" s="39"/>
    </row>
    <row r="35" spans="1:9" ht="15" customHeight="1" x14ac:dyDescent="0.25">
      <c r="A35" s="38"/>
      <c r="B35" s="293"/>
      <c r="C35" s="299"/>
      <c r="D35" s="295"/>
      <c r="E35" s="296"/>
      <c r="F35" s="297"/>
      <c r="G35" s="298">
        <v>0.2</v>
      </c>
      <c r="H35" s="31"/>
      <c r="I35" s="39"/>
    </row>
    <row r="36" spans="1:9" ht="15" customHeight="1" x14ac:dyDescent="0.25">
      <c r="A36" s="38"/>
      <c r="B36" s="293"/>
      <c r="C36" s="299"/>
      <c r="D36" s="295"/>
      <c r="E36" s="296"/>
      <c r="F36" s="297"/>
      <c r="G36" s="298">
        <v>0.2</v>
      </c>
      <c r="H36" s="31"/>
      <c r="I36" s="39"/>
    </row>
    <row r="37" spans="1:9" ht="15" customHeight="1" x14ac:dyDescent="0.25">
      <c r="A37" s="38"/>
      <c r="B37" s="293"/>
      <c r="C37" s="299"/>
      <c r="D37" s="295"/>
      <c r="E37" s="296"/>
      <c r="F37" s="297"/>
      <c r="G37" s="298">
        <v>0.2</v>
      </c>
      <c r="H37" s="31"/>
      <c r="I37" s="39"/>
    </row>
    <row r="38" spans="1:9" ht="15" customHeight="1" x14ac:dyDescent="0.25">
      <c r="A38" s="38"/>
      <c r="B38" s="293"/>
      <c r="C38" s="299"/>
      <c r="D38" s="295"/>
      <c r="E38" s="296"/>
      <c r="F38" s="297"/>
      <c r="G38" s="298">
        <v>0.2</v>
      </c>
      <c r="H38" s="31"/>
      <c r="I38" s="39"/>
    </row>
    <row r="39" spans="1:9" ht="15" customHeight="1" x14ac:dyDescent="0.25">
      <c r="A39" s="38"/>
      <c r="B39" s="293"/>
      <c r="C39" s="299"/>
      <c r="D39" s="295"/>
      <c r="E39" s="296"/>
      <c r="F39" s="297"/>
      <c r="G39" s="298">
        <v>0.2</v>
      </c>
      <c r="H39" s="31"/>
      <c r="I39" s="39"/>
    </row>
    <row r="40" spans="1:9" ht="15" customHeight="1" x14ac:dyDescent="0.25">
      <c r="A40" s="38"/>
      <c r="B40" s="293"/>
      <c r="C40" s="299"/>
      <c r="D40" s="295"/>
      <c r="E40" s="296"/>
      <c r="F40" s="297"/>
      <c r="G40" s="298">
        <v>0.2</v>
      </c>
      <c r="H40" s="31"/>
      <c r="I40" s="39"/>
    </row>
    <row r="41" spans="1:9" ht="15" customHeight="1" x14ac:dyDescent="0.25">
      <c r="A41" s="38"/>
      <c r="B41" s="293"/>
      <c r="C41" s="299"/>
      <c r="D41" s="295"/>
      <c r="E41" s="296"/>
      <c r="F41" s="297"/>
      <c r="G41" s="298">
        <v>0.2</v>
      </c>
      <c r="H41" s="31"/>
      <c r="I41" s="39"/>
    </row>
    <row r="42" spans="1:9" ht="15" customHeight="1" x14ac:dyDescent="0.25">
      <c r="A42" s="38"/>
      <c r="B42" s="293"/>
      <c r="C42" s="299"/>
      <c r="D42" s="295"/>
      <c r="E42" s="296"/>
      <c r="F42" s="297"/>
      <c r="G42" s="298">
        <v>0.2</v>
      </c>
      <c r="H42" s="31"/>
      <c r="I42" s="39"/>
    </row>
    <row r="43" spans="1:9" ht="15" customHeight="1" x14ac:dyDescent="0.25">
      <c r="A43" s="38"/>
      <c r="B43" s="293"/>
      <c r="C43" s="299"/>
      <c r="D43" s="295"/>
      <c r="E43" s="296"/>
      <c r="F43" s="297"/>
      <c r="G43" s="298">
        <v>0.2</v>
      </c>
      <c r="H43" s="31"/>
      <c r="I43" s="39"/>
    </row>
    <row r="44" spans="1:9" ht="15" customHeight="1" x14ac:dyDescent="0.25">
      <c r="A44" s="38"/>
      <c r="B44" s="293"/>
      <c r="C44" s="299"/>
      <c r="D44" s="295"/>
      <c r="E44" s="296"/>
      <c r="F44" s="297"/>
      <c r="G44" s="298">
        <v>0.2</v>
      </c>
      <c r="H44" s="31"/>
      <c r="I44" s="39"/>
    </row>
    <row r="45" spans="1:9" ht="15" customHeight="1" x14ac:dyDescent="0.25">
      <c r="A45" s="38"/>
      <c r="B45" s="293"/>
      <c r="C45" s="299"/>
      <c r="D45" s="295"/>
      <c r="E45" s="296"/>
      <c r="F45" s="297"/>
      <c r="G45" s="298">
        <v>0.2</v>
      </c>
      <c r="H45" s="31"/>
      <c r="I45" s="39"/>
    </row>
    <row r="46" spans="1:9" ht="15" customHeight="1" x14ac:dyDescent="0.25">
      <c r="A46" s="38"/>
      <c r="B46" s="293"/>
      <c r="C46" s="299"/>
      <c r="D46" s="295"/>
      <c r="E46" s="296"/>
      <c r="F46" s="297"/>
      <c r="G46" s="298">
        <v>0.2</v>
      </c>
      <c r="H46" s="31"/>
      <c r="I46" s="39"/>
    </row>
    <row r="47" spans="1:9" ht="15" customHeight="1" x14ac:dyDescent="0.25">
      <c r="A47" s="38"/>
      <c r="B47" s="293"/>
      <c r="C47" s="299"/>
      <c r="D47" s="295"/>
      <c r="E47" s="296"/>
      <c r="F47" s="297"/>
      <c r="G47" s="298">
        <v>0.2</v>
      </c>
      <c r="H47" s="31"/>
      <c r="I47" s="39"/>
    </row>
    <row r="48" spans="1:9" ht="15" customHeight="1" x14ac:dyDescent="0.25">
      <c r="A48" s="38"/>
      <c r="B48" s="293"/>
      <c r="C48" s="299"/>
      <c r="D48" s="295"/>
      <c r="E48" s="296"/>
      <c r="F48" s="297"/>
      <c r="G48" s="298">
        <v>0.2</v>
      </c>
      <c r="H48" s="31"/>
      <c r="I48" s="39"/>
    </row>
    <row r="49" spans="1:9" ht="15" customHeight="1" x14ac:dyDescent="0.25">
      <c r="A49" s="38"/>
      <c r="B49" s="293"/>
      <c r="C49" s="299"/>
      <c r="D49" s="295"/>
      <c r="E49" s="296"/>
      <c r="F49" s="297"/>
      <c r="G49" s="298">
        <v>0.2</v>
      </c>
      <c r="H49" s="31"/>
      <c r="I49" s="39"/>
    </row>
    <row r="50" spans="1:9" ht="15" customHeight="1" x14ac:dyDescent="0.25">
      <c r="A50" s="38"/>
      <c r="B50" s="293"/>
      <c r="C50" s="299"/>
      <c r="D50" s="295"/>
      <c r="E50" s="296"/>
      <c r="F50" s="297"/>
      <c r="G50" s="298">
        <v>0.2</v>
      </c>
      <c r="H50" s="31"/>
      <c r="I50" s="39"/>
    </row>
    <row r="51" spans="1:9" ht="15" customHeight="1" x14ac:dyDescent="0.25">
      <c r="A51" s="38"/>
      <c r="B51" s="293"/>
      <c r="C51" s="299"/>
      <c r="D51" s="295"/>
      <c r="E51" s="296"/>
      <c r="F51" s="297"/>
      <c r="G51" s="298">
        <v>0.2</v>
      </c>
      <c r="H51" s="31"/>
      <c r="I51" s="39"/>
    </row>
    <row r="52" spans="1:9" ht="15" customHeight="1" x14ac:dyDescent="0.25">
      <c r="A52" s="38"/>
      <c r="B52" s="293"/>
      <c r="C52" s="299"/>
      <c r="D52" s="295"/>
      <c r="E52" s="296"/>
      <c r="F52" s="297"/>
      <c r="G52" s="298">
        <v>0.2</v>
      </c>
      <c r="H52" s="31"/>
      <c r="I52" s="39"/>
    </row>
    <row r="53" spans="1:9" ht="15" customHeight="1" x14ac:dyDescent="0.25">
      <c r="A53" s="38"/>
      <c r="B53" s="293"/>
      <c r="C53" s="299"/>
      <c r="D53" s="295"/>
      <c r="E53" s="296"/>
      <c r="F53" s="297"/>
      <c r="G53" s="298">
        <v>0.2</v>
      </c>
      <c r="H53" s="31"/>
      <c r="I53" s="39"/>
    </row>
    <row r="54" spans="1:9" ht="15" customHeight="1" x14ac:dyDescent="0.25">
      <c r="A54" s="38"/>
      <c r="B54" s="192" t="s">
        <v>20</v>
      </c>
      <c r="C54" s="202">
        <f>SUM(C33:C53)</f>
        <v>0</v>
      </c>
      <c r="D54" s="195"/>
      <c r="E54" s="195"/>
      <c r="F54" s="195"/>
      <c r="G54" s="196"/>
      <c r="H54" s="31"/>
      <c r="I54" s="39"/>
    </row>
    <row r="55" spans="1:9" s="28" customFormat="1" ht="20.100000000000001" customHeight="1" x14ac:dyDescent="0.25">
      <c r="A55" s="40"/>
      <c r="B55" s="194" t="s">
        <v>358</v>
      </c>
      <c r="C55" s="379"/>
      <c r="D55" s="380"/>
      <c r="E55" s="380"/>
      <c r="F55" s="380"/>
      <c r="G55" s="381"/>
      <c r="H55" s="32"/>
      <c r="I55" s="41"/>
    </row>
    <row r="56" spans="1:9" ht="15" customHeight="1" x14ac:dyDescent="0.25">
      <c r="A56" s="38"/>
      <c r="B56" s="293" t="s">
        <v>486</v>
      </c>
      <c r="C56" s="299"/>
      <c r="D56" s="295"/>
      <c r="E56" s="296"/>
      <c r="F56" s="195"/>
      <c r="G56" s="193"/>
      <c r="H56" s="31"/>
      <c r="I56" s="39"/>
    </row>
    <row r="57" spans="1:9" ht="15" customHeight="1" x14ac:dyDescent="0.25">
      <c r="A57" s="38"/>
      <c r="B57" s="293"/>
      <c r="C57" s="299"/>
      <c r="D57" s="295"/>
      <c r="E57" s="296"/>
      <c r="F57" s="195"/>
      <c r="G57" s="193"/>
      <c r="H57" s="31"/>
      <c r="I57" s="39"/>
    </row>
    <row r="58" spans="1:9" ht="15" customHeight="1" x14ac:dyDescent="0.25">
      <c r="A58" s="38"/>
      <c r="B58" s="293"/>
      <c r="C58" s="299"/>
      <c r="D58" s="295"/>
      <c r="E58" s="296"/>
      <c r="F58" s="195"/>
      <c r="G58" s="193"/>
      <c r="H58" s="31"/>
      <c r="I58" s="39"/>
    </row>
    <row r="59" spans="1:9" ht="15" customHeight="1" x14ac:dyDescent="0.25">
      <c r="A59" s="38"/>
      <c r="B59" s="293"/>
      <c r="C59" s="299"/>
      <c r="D59" s="295"/>
      <c r="E59" s="296"/>
      <c r="F59" s="195"/>
      <c r="G59" s="193"/>
      <c r="H59" s="31"/>
      <c r="I59" s="39"/>
    </row>
    <row r="60" spans="1:9" ht="15" customHeight="1" x14ac:dyDescent="0.25">
      <c r="A60" s="38"/>
      <c r="B60" s="293"/>
      <c r="C60" s="299"/>
      <c r="D60" s="295"/>
      <c r="E60" s="296"/>
      <c r="F60" s="195"/>
      <c r="G60" s="193"/>
      <c r="H60" s="31"/>
      <c r="I60" s="39"/>
    </row>
    <row r="61" spans="1:9" ht="15" customHeight="1" x14ac:dyDescent="0.25">
      <c r="A61" s="38"/>
      <c r="B61" s="192" t="s">
        <v>20</v>
      </c>
      <c r="C61" s="202">
        <f>SUM(C56:C60)</f>
        <v>0</v>
      </c>
      <c r="D61" s="195"/>
      <c r="E61" s="195"/>
      <c r="F61" s="195"/>
      <c r="G61" s="193"/>
      <c r="H61" s="31"/>
      <c r="I61" s="39"/>
    </row>
    <row r="62" spans="1:9" ht="26.25" customHeight="1" x14ac:dyDescent="0.25">
      <c r="A62" s="38"/>
      <c r="B62" s="51" t="s">
        <v>359</v>
      </c>
      <c r="C62" s="197">
        <f>C61+C54+C31</f>
        <v>0</v>
      </c>
      <c r="D62" s="197">
        <f>D61+D54+D31</f>
        <v>0</v>
      </c>
      <c r="E62" s="197">
        <f>E61+E54+E31</f>
        <v>0</v>
      </c>
      <c r="F62" s="198"/>
      <c r="G62" s="199"/>
      <c r="H62" s="31"/>
      <c r="I62" s="39"/>
    </row>
    <row r="63" spans="1:9" x14ac:dyDescent="0.25">
      <c r="A63" s="38"/>
      <c r="B63" s="31"/>
      <c r="C63" s="31"/>
      <c r="D63" s="31"/>
      <c r="E63" s="31"/>
      <c r="F63" s="31"/>
      <c r="G63" s="31"/>
      <c r="H63" s="31"/>
      <c r="I63" s="39"/>
    </row>
    <row r="64" spans="1:9" x14ac:dyDescent="0.25">
      <c r="A64" s="42"/>
      <c r="B64" s="43"/>
      <c r="C64" s="43"/>
      <c r="D64" s="43"/>
      <c r="E64" s="43"/>
      <c r="F64" s="43"/>
      <c r="G64" s="43"/>
      <c r="H64" s="43"/>
      <c r="I64" s="44"/>
    </row>
  </sheetData>
  <sheetProtection algorithmName="SHA-512" hashValue="os/XqkmJGg4mQxTF2SvSTtA4NgSczSz/9zs7lEvYO14AiA/Z0Hezb5AapGGhbkcfSdivkfHNxvVyVbh2lUaiZg==" saltValue="PowXoHVJPIzGNa00R0OdDg==" spinCount="100000" sheet="1" objects="1" scenarios="1"/>
  <mergeCells count="16">
    <mergeCell ref="B2:H2"/>
    <mergeCell ref="C32:G32"/>
    <mergeCell ref="C20:G20"/>
    <mergeCell ref="C55:G55"/>
    <mergeCell ref="F18:F19"/>
    <mergeCell ref="G18:G19"/>
    <mergeCell ref="C18:C19"/>
    <mergeCell ref="D18:D19"/>
    <mergeCell ref="E18:E19"/>
    <mergeCell ref="C14:C15"/>
    <mergeCell ref="D14:D15"/>
    <mergeCell ref="E14:E15"/>
    <mergeCell ref="F14:F15"/>
    <mergeCell ref="G14:G15"/>
    <mergeCell ref="B14:B15"/>
    <mergeCell ref="B18:B19"/>
  </mergeCells>
  <dataValidations count="1">
    <dataValidation type="list" allowBlank="1" showInputMessage="1" showErrorMessage="1" sqref="G33:G53">
      <formula1>$C$71:$C$72</formula1>
    </dataValidation>
  </dataValidations>
  <hyperlinks>
    <hyperlink ref="B12" r:id="rId1"/>
    <hyperlink ref="C12" r:id="rId2"/>
  </hyperlinks>
  <pageMargins left="0.7" right="0.7" top="0.75" bottom="0.75" header="0.3" footer="0.3"/>
  <pageSetup paperSize="9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Caractéristiques!$H$80:$H$82</xm:f>
          </x14:formula1>
          <xm:sqref>D33:D53 D21:D30 D56:D60 D16</xm:sqref>
        </x14:dataValidation>
        <x14:dataValidation type="list" allowBlank="1" showInputMessage="1" showErrorMessage="1">
          <x14:formula1>
            <xm:f>Caractéristiques!$H$67:$H$78</xm:f>
          </x14:formula1>
          <xm:sqref>E33:E53 E21:E30 E56:E60 E16</xm:sqref>
        </x14:dataValidation>
        <x14:dataValidation type="list" allowBlank="1" showInputMessage="1" showErrorMessage="1">
          <x14:formula1>
            <xm:f>Caractéristiques!$I$73:$I$82</xm:f>
          </x14:formula1>
          <xm:sqref>F21:F30 F16 F33:F53</xm:sqref>
        </x14:dataValidation>
        <x14:dataValidation type="list" allowBlank="1" showInputMessage="1" showErrorMessage="1">
          <x14:formula1>
            <xm:f>Caractéristiques!$C$65:$C$66</xm:f>
          </x14:formula1>
          <xm:sqref>G21:G30 G16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P246"/>
  <sheetViews>
    <sheetView showGridLines="0" topLeftCell="A22" zoomScale="90" zoomScaleNormal="90" workbookViewId="0">
      <selection activeCell="F44" sqref="F44"/>
    </sheetView>
  </sheetViews>
  <sheetFormatPr baseColWidth="10" defaultRowHeight="15" x14ac:dyDescent="0.25"/>
  <cols>
    <col min="1" max="1" width="2.42578125" style="29" customWidth="1"/>
    <col min="2" max="2" width="40.140625" customWidth="1"/>
    <col min="3" max="14" width="15.7109375" customWidth="1"/>
    <col min="15" max="15" width="13.42578125" customWidth="1"/>
    <col min="16" max="16" width="4.7109375" style="29" customWidth="1"/>
    <col min="17" max="42" width="11.42578125" style="34"/>
  </cols>
  <sheetData>
    <row r="1" spans="1:42" ht="5.0999999999999996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42" ht="28.5" customHeight="1" x14ac:dyDescent="0.25">
      <c r="A2" s="38"/>
      <c r="B2" s="365" t="s">
        <v>251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9"/>
    </row>
    <row r="3" spans="1:42" s="29" customFormat="1" ht="15" customHeight="1" x14ac:dyDescent="0.25">
      <c r="A3" s="3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9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42" s="29" customFormat="1" ht="15" customHeight="1" x14ac:dyDescent="0.25">
      <c r="A4" s="38"/>
      <c r="B4" s="258" t="s">
        <v>27</v>
      </c>
      <c r="C4" s="259"/>
      <c r="D4" s="272"/>
      <c r="E4" s="272"/>
      <c r="F4" s="272"/>
      <c r="G4" s="272"/>
      <c r="H4" s="272"/>
      <c r="I4" s="273"/>
      <c r="J4" s="30"/>
      <c r="K4" s="30"/>
      <c r="L4" s="30"/>
      <c r="M4" s="30"/>
      <c r="N4" s="30"/>
      <c r="O4" s="30"/>
      <c r="P4" s="39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</row>
    <row r="5" spans="1:42" s="29" customFormat="1" ht="15" customHeight="1" x14ac:dyDescent="0.25">
      <c r="A5" s="38"/>
      <c r="B5" s="266" t="s">
        <v>163</v>
      </c>
      <c r="C5" s="262"/>
      <c r="D5" s="262"/>
      <c r="E5" s="274"/>
      <c r="F5" s="274"/>
      <c r="G5" s="274"/>
      <c r="H5" s="274"/>
      <c r="I5" s="263"/>
      <c r="J5" s="30"/>
      <c r="K5" s="30"/>
      <c r="L5" s="30"/>
      <c r="M5" s="30"/>
      <c r="N5" s="30"/>
      <c r="O5" s="30"/>
      <c r="P5" s="39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6" spans="1:42" s="29" customFormat="1" ht="15" customHeight="1" x14ac:dyDescent="0.25">
      <c r="A6" s="38"/>
      <c r="B6" s="261" t="s">
        <v>631</v>
      </c>
      <c r="C6" s="262"/>
      <c r="D6" s="262"/>
      <c r="E6" s="274"/>
      <c r="F6" s="274"/>
      <c r="G6" s="274"/>
      <c r="H6" s="274"/>
      <c r="I6" s="263"/>
      <c r="J6" s="30"/>
      <c r="K6" s="30"/>
      <c r="L6" s="30"/>
      <c r="M6" s="30"/>
      <c r="N6" s="30"/>
      <c r="O6" s="30"/>
      <c r="P6" s="3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1:42" s="29" customFormat="1" ht="15" customHeight="1" x14ac:dyDescent="0.25">
      <c r="A7" s="38"/>
      <c r="B7" s="261" t="s">
        <v>632</v>
      </c>
      <c r="C7" s="262"/>
      <c r="D7" s="262"/>
      <c r="E7" s="274"/>
      <c r="F7" s="274"/>
      <c r="G7" s="274"/>
      <c r="H7" s="274"/>
      <c r="I7" s="263"/>
      <c r="J7" s="30"/>
      <c r="K7" s="30"/>
      <c r="L7" s="30"/>
      <c r="M7" s="30"/>
      <c r="N7" s="30"/>
      <c r="O7" s="30"/>
      <c r="P7" s="39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</row>
    <row r="8" spans="1:42" s="29" customFormat="1" ht="15" customHeight="1" x14ac:dyDescent="0.25">
      <c r="A8" s="38"/>
      <c r="B8" s="261" t="s">
        <v>633</v>
      </c>
      <c r="C8" s="262"/>
      <c r="D8" s="262"/>
      <c r="E8" s="274"/>
      <c r="F8" s="274"/>
      <c r="G8" s="274"/>
      <c r="H8" s="274"/>
      <c r="I8" s="263"/>
      <c r="J8" s="30"/>
      <c r="K8" s="30"/>
      <c r="L8" s="30"/>
      <c r="M8" s="30"/>
      <c r="N8" s="30"/>
      <c r="O8" s="30"/>
      <c r="P8" s="39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</row>
    <row r="9" spans="1:42" s="29" customFormat="1" ht="15" customHeight="1" x14ac:dyDescent="0.25">
      <c r="A9" s="38"/>
      <c r="B9" s="261" t="s">
        <v>634</v>
      </c>
      <c r="C9" s="262"/>
      <c r="D9" s="262"/>
      <c r="E9" s="274"/>
      <c r="F9" s="274"/>
      <c r="G9" s="274"/>
      <c r="H9" s="274"/>
      <c r="I9" s="263"/>
      <c r="J9" s="30"/>
      <c r="K9" s="30"/>
      <c r="L9" s="30"/>
      <c r="M9" s="30"/>
      <c r="N9" s="30"/>
      <c r="O9" s="30"/>
      <c r="P9" s="39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</row>
    <row r="10" spans="1:42" s="29" customFormat="1" ht="15" customHeight="1" x14ac:dyDescent="0.25">
      <c r="A10" s="38"/>
      <c r="B10" s="261" t="s">
        <v>630</v>
      </c>
      <c r="C10" s="262"/>
      <c r="D10" s="262"/>
      <c r="E10" s="274"/>
      <c r="F10" s="274"/>
      <c r="G10" s="274"/>
      <c r="H10" s="274"/>
      <c r="I10" s="263"/>
      <c r="J10" s="30"/>
      <c r="K10" s="30"/>
      <c r="L10" s="30"/>
      <c r="M10" s="30"/>
      <c r="N10" s="30"/>
      <c r="O10" s="30"/>
      <c r="P10" s="39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s="29" customFormat="1" ht="15" customHeight="1" x14ac:dyDescent="0.25">
      <c r="A11" s="38"/>
      <c r="B11" s="269" t="s">
        <v>361</v>
      </c>
      <c r="C11" s="262"/>
      <c r="D11" s="262"/>
      <c r="E11" s="274"/>
      <c r="F11" s="274"/>
      <c r="G11" s="274"/>
      <c r="H11" s="274"/>
      <c r="I11" s="263"/>
      <c r="J11" s="30"/>
      <c r="K11" s="30"/>
      <c r="L11" s="30"/>
      <c r="M11" s="30"/>
      <c r="N11" s="30"/>
      <c r="O11" s="30"/>
      <c r="P11" s="39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42" s="29" customFormat="1" ht="15" customHeight="1" x14ac:dyDescent="0.25">
      <c r="A12" s="38"/>
      <c r="B12" s="266" t="s">
        <v>629</v>
      </c>
      <c r="C12" s="262"/>
      <c r="D12" s="262"/>
      <c r="E12" s="274"/>
      <c r="F12" s="274"/>
      <c r="G12" s="274"/>
      <c r="H12" s="274"/>
      <c r="I12" s="263"/>
      <c r="J12" s="30"/>
      <c r="K12" s="30"/>
      <c r="L12" s="30"/>
      <c r="M12" s="30"/>
      <c r="N12" s="30"/>
      <c r="O12" s="30"/>
      <c r="P12" s="39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s="29" customFormat="1" ht="15" customHeight="1" x14ac:dyDescent="0.25">
      <c r="A13" s="38"/>
      <c r="B13" s="270" t="s">
        <v>399</v>
      </c>
      <c r="C13" s="271" t="s">
        <v>400</v>
      </c>
      <c r="D13" s="264"/>
      <c r="E13" s="276" t="s">
        <v>401</v>
      </c>
      <c r="F13" s="275"/>
      <c r="G13" s="275"/>
      <c r="H13" s="275"/>
      <c r="I13" s="265"/>
      <c r="J13" s="30"/>
      <c r="K13" s="30"/>
      <c r="L13" s="30"/>
      <c r="M13" s="30"/>
      <c r="N13" s="30"/>
      <c r="O13" s="30"/>
      <c r="P13" s="39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s="29" customFormat="1" ht="15" customHeight="1" x14ac:dyDescent="0.25">
      <c r="A14" s="38"/>
      <c r="C14" s="30"/>
      <c r="E14" s="30"/>
      <c r="F14" s="30"/>
      <c r="G14" s="30"/>
      <c r="H14" s="30"/>
      <c r="J14" s="30"/>
      <c r="K14" s="30"/>
      <c r="L14" s="30"/>
      <c r="M14" s="30"/>
      <c r="N14" s="30"/>
      <c r="O14" s="30"/>
      <c r="P14" s="39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2" s="29" customFormat="1" ht="15" customHeight="1" x14ac:dyDescent="0.3">
      <c r="A15" s="38"/>
      <c r="B15" s="81" t="s">
        <v>257</v>
      </c>
      <c r="C15" s="30"/>
      <c r="E15" s="30"/>
      <c r="F15" s="30"/>
      <c r="G15" s="30"/>
      <c r="H15" s="30"/>
      <c r="J15" s="30"/>
      <c r="K15" s="30"/>
      <c r="L15" s="30"/>
      <c r="M15" s="30"/>
      <c r="N15" s="30"/>
      <c r="O15" s="30"/>
      <c r="P15" s="39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</row>
    <row r="16" spans="1:42" s="29" customFormat="1" ht="15" customHeight="1" x14ac:dyDescent="0.25">
      <c r="A16" s="3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9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</row>
    <row r="17" spans="1:42" ht="19.5" customHeight="1" x14ac:dyDescent="0.25">
      <c r="A17" s="38"/>
      <c r="B17" s="45" t="s">
        <v>146</v>
      </c>
      <c r="C17" s="46" t="s">
        <v>149</v>
      </c>
      <c r="D17" s="46" t="s">
        <v>150</v>
      </c>
      <c r="E17" s="46" t="s">
        <v>151</v>
      </c>
      <c r="F17" s="46" t="s">
        <v>152</v>
      </c>
      <c r="G17" s="46" t="s">
        <v>153</v>
      </c>
      <c r="H17" s="46" t="s">
        <v>154</v>
      </c>
      <c r="I17" s="46" t="s">
        <v>155</v>
      </c>
      <c r="J17" s="46" t="s">
        <v>156</v>
      </c>
      <c r="K17" s="46" t="s">
        <v>157</v>
      </c>
      <c r="L17" s="46" t="s">
        <v>158</v>
      </c>
      <c r="M17" s="46" t="s">
        <v>159</v>
      </c>
      <c r="N17" s="46" t="s">
        <v>160</v>
      </c>
      <c r="O17" s="50" t="s">
        <v>20</v>
      </c>
      <c r="P17" s="39"/>
    </row>
    <row r="18" spans="1:42" x14ac:dyDescent="0.25">
      <c r="A18" s="38"/>
      <c r="B18" s="33" t="s">
        <v>252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53">
        <f>SUM(C18:N18)</f>
        <v>0</v>
      </c>
      <c r="P18" s="39"/>
    </row>
    <row r="19" spans="1:42" x14ac:dyDescent="0.25">
      <c r="A19" s="38"/>
      <c r="B19" s="33" t="s">
        <v>253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53">
        <f t="shared" ref="O19:O21" si="0">SUM(C19:N19)</f>
        <v>0</v>
      </c>
      <c r="P19" s="39"/>
    </row>
    <row r="20" spans="1:42" x14ac:dyDescent="0.25">
      <c r="A20" s="38"/>
      <c r="B20" s="144" t="s">
        <v>254</v>
      </c>
      <c r="C20" s="57">
        <f>C18+C19</f>
        <v>0</v>
      </c>
      <c r="D20" s="57">
        <f t="shared" ref="D20:N20" si="1">D18+D19</f>
        <v>0</v>
      </c>
      <c r="E20" s="57">
        <f t="shared" si="1"/>
        <v>0</v>
      </c>
      <c r="F20" s="57">
        <f t="shared" si="1"/>
        <v>0</v>
      </c>
      <c r="G20" s="57">
        <f t="shared" si="1"/>
        <v>0</v>
      </c>
      <c r="H20" s="57">
        <f t="shared" si="1"/>
        <v>0</v>
      </c>
      <c r="I20" s="57">
        <f t="shared" si="1"/>
        <v>0</v>
      </c>
      <c r="J20" s="57">
        <f t="shared" si="1"/>
        <v>0</v>
      </c>
      <c r="K20" s="57">
        <f t="shared" si="1"/>
        <v>0</v>
      </c>
      <c r="L20" s="57">
        <f t="shared" si="1"/>
        <v>0</v>
      </c>
      <c r="M20" s="57">
        <f t="shared" si="1"/>
        <v>0</v>
      </c>
      <c r="N20" s="57">
        <f t="shared" si="1"/>
        <v>0</v>
      </c>
      <c r="O20" s="53">
        <f t="shared" si="0"/>
        <v>0</v>
      </c>
      <c r="P20" s="39"/>
    </row>
    <row r="21" spans="1:42" x14ac:dyDescent="0.25">
      <c r="A21" s="38"/>
      <c r="B21" s="33" t="s">
        <v>255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53">
        <f t="shared" si="0"/>
        <v>0</v>
      </c>
      <c r="P21" s="39"/>
    </row>
    <row r="22" spans="1:42" x14ac:dyDescent="0.25">
      <c r="A22" s="38"/>
      <c r="B22" s="144" t="s">
        <v>256</v>
      </c>
      <c r="C22" s="57">
        <f>C19-C21</f>
        <v>0</v>
      </c>
      <c r="D22" s="57">
        <f>C22+D19-D21</f>
        <v>0</v>
      </c>
      <c r="E22" s="57">
        <f t="shared" ref="E22:N22" si="2">D22+E19-E21</f>
        <v>0</v>
      </c>
      <c r="F22" s="57">
        <f t="shared" si="2"/>
        <v>0</v>
      </c>
      <c r="G22" s="57">
        <f t="shared" si="2"/>
        <v>0</v>
      </c>
      <c r="H22" s="57">
        <f t="shared" si="2"/>
        <v>0</v>
      </c>
      <c r="I22" s="57">
        <f t="shared" si="2"/>
        <v>0</v>
      </c>
      <c r="J22" s="57">
        <f t="shared" si="2"/>
        <v>0</v>
      </c>
      <c r="K22" s="57">
        <f t="shared" si="2"/>
        <v>0</v>
      </c>
      <c r="L22" s="57">
        <f t="shared" si="2"/>
        <v>0</v>
      </c>
      <c r="M22" s="57">
        <f t="shared" si="2"/>
        <v>0</v>
      </c>
      <c r="N22" s="57">
        <f t="shared" si="2"/>
        <v>0</v>
      </c>
      <c r="O22" s="247">
        <f>N22</f>
        <v>0</v>
      </c>
      <c r="P22" s="39"/>
    </row>
    <row r="23" spans="1:42" s="29" customFormat="1" ht="15" customHeight="1" x14ac:dyDescent="0.25">
      <c r="A23" s="3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9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ht="19.5" customHeight="1" x14ac:dyDescent="0.25">
      <c r="A24" s="38"/>
      <c r="B24" s="45" t="s">
        <v>147</v>
      </c>
      <c r="C24" s="46" t="s">
        <v>149</v>
      </c>
      <c r="D24" s="46" t="s">
        <v>150</v>
      </c>
      <c r="E24" s="46" t="s">
        <v>151</v>
      </c>
      <c r="F24" s="46" t="s">
        <v>152</v>
      </c>
      <c r="G24" s="46" t="s">
        <v>153</v>
      </c>
      <c r="H24" s="46" t="s">
        <v>154</v>
      </c>
      <c r="I24" s="46" t="s">
        <v>155</v>
      </c>
      <c r="J24" s="46" t="s">
        <v>156</v>
      </c>
      <c r="K24" s="46" t="s">
        <v>157</v>
      </c>
      <c r="L24" s="46" t="s">
        <v>158</v>
      </c>
      <c r="M24" s="46" t="s">
        <v>159</v>
      </c>
      <c r="N24" s="46" t="s">
        <v>160</v>
      </c>
      <c r="O24" s="50" t="s">
        <v>20</v>
      </c>
      <c r="P24" s="39"/>
    </row>
    <row r="25" spans="1:42" x14ac:dyDescent="0.25">
      <c r="A25" s="38"/>
      <c r="B25" s="33" t="s">
        <v>252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53">
        <f>SUM(C25:N25)</f>
        <v>0</v>
      </c>
      <c r="P25" s="39"/>
    </row>
    <row r="26" spans="1:42" x14ac:dyDescent="0.25">
      <c r="A26" s="38"/>
      <c r="B26" s="33" t="s">
        <v>253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53">
        <f t="shared" ref="O26:O28" si="3">SUM(C26:N26)</f>
        <v>0</v>
      </c>
      <c r="P26" s="39"/>
    </row>
    <row r="27" spans="1:42" x14ac:dyDescent="0.25">
      <c r="A27" s="38"/>
      <c r="B27" s="144" t="s">
        <v>254</v>
      </c>
      <c r="C27" s="57">
        <f>C25+C26</f>
        <v>0</v>
      </c>
      <c r="D27" s="57">
        <f t="shared" ref="D27" si="4">D25+D26</f>
        <v>0</v>
      </c>
      <c r="E27" s="57">
        <f t="shared" ref="E27" si="5">E25+E26</f>
        <v>0</v>
      </c>
      <c r="F27" s="57">
        <f t="shared" ref="F27" si="6">F25+F26</f>
        <v>0</v>
      </c>
      <c r="G27" s="57">
        <f t="shared" ref="G27" si="7">G25+G26</f>
        <v>0</v>
      </c>
      <c r="H27" s="57">
        <f t="shared" ref="H27" si="8">H25+H26</f>
        <v>0</v>
      </c>
      <c r="I27" s="57">
        <f t="shared" ref="I27" si="9">I25+I26</f>
        <v>0</v>
      </c>
      <c r="J27" s="57">
        <f t="shared" ref="J27" si="10">J25+J26</f>
        <v>0</v>
      </c>
      <c r="K27" s="57">
        <f t="shared" ref="K27" si="11">K25+K26</f>
        <v>0</v>
      </c>
      <c r="L27" s="57">
        <f t="shared" ref="L27" si="12">L25+L26</f>
        <v>0</v>
      </c>
      <c r="M27" s="57">
        <f t="shared" ref="M27" si="13">M25+M26</f>
        <v>0</v>
      </c>
      <c r="N27" s="57">
        <f t="shared" ref="N27:O27" si="14">N25+N26</f>
        <v>0</v>
      </c>
      <c r="O27" s="247">
        <f t="shared" si="14"/>
        <v>0</v>
      </c>
      <c r="P27" s="39"/>
    </row>
    <row r="28" spans="1:42" x14ac:dyDescent="0.25">
      <c r="A28" s="38"/>
      <c r="B28" s="33" t="s">
        <v>255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53">
        <f t="shared" si="3"/>
        <v>0</v>
      </c>
      <c r="P28" s="39"/>
    </row>
    <row r="29" spans="1:42" x14ac:dyDescent="0.25">
      <c r="A29" s="38"/>
      <c r="B29" s="144" t="s">
        <v>256</v>
      </c>
      <c r="C29" s="57">
        <f>C26-C28+O22</f>
        <v>0</v>
      </c>
      <c r="D29" s="57">
        <f>C29+D26-D28</f>
        <v>0</v>
      </c>
      <c r="E29" s="57">
        <f t="shared" ref="E29" si="15">D29+E26-E28</f>
        <v>0</v>
      </c>
      <c r="F29" s="57">
        <f t="shared" ref="F29" si="16">E29+F26-F28</f>
        <v>0</v>
      </c>
      <c r="G29" s="57">
        <f t="shared" ref="G29" si="17">F29+G26-G28</f>
        <v>0</v>
      </c>
      <c r="H29" s="57">
        <f t="shared" ref="H29" si="18">G29+H26-H28</f>
        <v>0</v>
      </c>
      <c r="I29" s="57">
        <f t="shared" ref="I29" si="19">H29+I26-I28</f>
        <v>0</v>
      </c>
      <c r="J29" s="57">
        <f t="shared" ref="J29" si="20">I29+J26-J28</f>
        <v>0</v>
      </c>
      <c r="K29" s="57">
        <f t="shared" ref="K29" si="21">J29+K26-K28</f>
        <v>0</v>
      </c>
      <c r="L29" s="57">
        <f t="shared" ref="L29" si="22">K29+L26-L28</f>
        <v>0</v>
      </c>
      <c r="M29" s="57">
        <f t="shared" ref="M29" si="23">L29+M26-M28</f>
        <v>0</v>
      </c>
      <c r="N29" s="57">
        <f t="shared" ref="N29" si="24">M29+N26-N28</f>
        <v>0</v>
      </c>
      <c r="O29" s="247">
        <f>N29</f>
        <v>0</v>
      </c>
      <c r="P29" s="39"/>
    </row>
    <row r="30" spans="1:42" s="29" customFormat="1" ht="15" customHeight="1" x14ac:dyDescent="0.25">
      <c r="A30" s="38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9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ht="19.5" customHeight="1" x14ac:dyDescent="0.25">
      <c r="A31" s="38"/>
      <c r="B31" s="45" t="s">
        <v>148</v>
      </c>
      <c r="C31" s="46" t="s">
        <v>149</v>
      </c>
      <c r="D31" s="46" t="s">
        <v>150</v>
      </c>
      <c r="E31" s="46" t="s">
        <v>151</v>
      </c>
      <c r="F31" s="46" t="s">
        <v>152</v>
      </c>
      <c r="G31" s="46" t="s">
        <v>153</v>
      </c>
      <c r="H31" s="46" t="s">
        <v>154</v>
      </c>
      <c r="I31" s="46" t="s">
        <v>155</v>
      </c>
      <c r="J31" s="46" t="s">
        <v>156</v>
      </c>
      <c r="K31" s="46" t="s">
        <v>157</v>
      </c>
      <c r="L31" s="46" t="s">
        <v>158</v>
      </c>
      <c r="M31" s="46" t="s">
        <v>159</v>
      </c>
      <c r="N31" s="46" t="s">
        <v>160</v>
      </c>
      <c r="O31" s="50" t="s">
        <v>20</v>
      </c>
      <c r="P31" s="39"/>
    </row>
    <row r="32" spans="1:42" x14ac:dyDescent="0.25">
      <c r="A32" s="38"/>
      <c r="B32" s="33" t="s">
        <v>252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53">
        <f>SUM(C32:N32)</f>
        <v>0</v>
      </c>
      <c r="P32" s="39"/>
    </row>
    <row r="33" spans="1:16" x14ac:dyDescent="0.25">
      <c r="A33" s="38"/>
      <c r="B33" s="33" t="s">
        <v>253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53">
        <f t="shared" ref="O33" si="25">SUM(C33:N33)</f>
        <v>0</v>
      </c>
      <c r="P33" s="39"/>
    </row>
    <row r="34" spans="1:16" x14ac:dyDescent="0.25">
      <c r="A34" s="38"/>
      <c r="B34" s="144" t="s">
        <v>254</v>
      </c>
      <c r="C34" s="57">
        <f>C32+C33</f>
        <v>0</v>
      </c>
      <c r="D34" s="57">
        <f t="shared" ref="D34" si="26">D32+D33</f>
        <v>0</v>
      </c>
      <c r="E34" s="57">
        <f t="shared" ref="E34" si="27">E32+E33</f>
        <v>0</v>
      </c>
      <c r="F34" s="57">
        <f t="shared" ref="F34" si="28">F32+F33</f>
        <v>0</v>
      </c>
      <c r="G34" s="57">
        <f t="shared" ref="G34" si="29">G32+G33</f>
        <v>0</v>
      </c>
      <c r="H34" s="57">
        <f t="shared" ref="H34" si="30">H32+H33</f>
        <v>0</v>
      </c>
      <c r="I34" s="57">
        <f t="shared" ref="I34" si="31">I32+I33</f>
        <v>0</v>
      </c>
      <c r="J34" s="57">
        <f t="shared" ref="J34" si="32">J32+J33</f>
        <v>0</v>
      </c>
      <c r="K34" s="57">
        <f t="shared" ref="K34" si="33">K32+K33</f>
        <v>0</v>
      </c>
      <c r="L34" s="57">
        <f t="shared" ref="L34" si="34">L32+L33</f>
        <v>0</v>
      </c>
      <c r="M34" s="57">
        <f t="shared" ref="M34" si="35">M32+M33</f>
        <v>0</v>
      </c>
      <c r="N34" s="57">
        <f t="shared" ref="N34:O34" si="36">N32+N33</f>
        <v>0</v>
      </c>
      <c r="O34" s="247">
        <f t="shared" si="36"/>
        <v>0</v>
      </c>
      <c r="P34" s="39"/>
    </row>
    <row r="35" spans="1:16" x14ac:dyDescent="0.25">
      <c r="A35" s="38"/>
      <c r="B35" s="33" t="s">
        <v>255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53">
        <f t="shared" ref="O35" si="37">SUM(C35:N35)</f>
        <v>0</v>
      </c>
      <c r="P35" s="39"/>
    </row>
    <row r="36" spans="1:16" x14ac:dyDescent="0.25">
      <c r="A36" s="38"/>
      <c r="B36" s="144" t="s">
        <v>256</v>
      </c>
      <c r="C36" s="57">
        <f>C33-C35+O29</f>
        <v>0</v>
      </c>
      <c r="D36" s="57">
        <f>C36+D33-D35</f>
        <v>0</v>
      </c>
      <c r="E36" s="57">
        <f t="shared" ref="E36" si="38">D36+E33-E35</f>
        <v>0</v>
      </c>
      <c r="F36" s="57">
        <f t="shared" ref="F36" si="39">E36+F33-F35</f>
        <v>0</v>
      </c>
      <c r="G36" s="57">
        <f t="shared" ref="G36" si="40">F36+G33-G35</f>
        <v>0</v>
      </c>
      <c r="H36" s="57">
        <f t="shared" ref="H36" si="41">G36+H33-H35</f>
        <v>0</v>
      </c>
      <c r="I36" s="57">
        <f t="shared" ref="I36" si="42">H36+I33-I35</f>
        <v>0</v>
      </c>
      <c r="J36" s="57">
        <f t="shared" ref="J36" si="43">I36+J33-J35</f>
        <v>0</v>
      </c>
      <c r="K36" s="57">
        <f t="shared" ref="K36" si="44">J36+K33-K35</f>
        <v>0</v>
      </c>
      <c r="L36" s="57">
        <f t="shared" ref="L36" si="45">K36+L33-L35</f>
        <v>0</v>
      </c>
      <c r="M36" s="57">
        <f t="shared" ref="M36" si="46">L36+M33-M35</f>
        <v>0</v>
      </c>
      <c r="N36" s="57">
        <f t="shared" ref="N36" si="47">M36+N33-N35</f>
        <v>0</v>
      </c>
      <c r="O36" s="247">
        <f>N36</f>
        <v>0</v>
      </c>
      <c r="P36" s="39"/>
    </row>
    <row r="37" spans="1:16" x14ac:dyDescent="0.25">
      <c r="A37" s="38"/>
      <c r="B37" s="31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39"/>
    </row>
    <row r="38" spans="1:16" x14ac:dyDescent="0.25">
      <c r="A38" s="3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39"/>
    </row>
    <row r="39" spans="1:16" ht="18.75" x14ac:dyDescent="0.3">
      <c r="A39" s="38"/>
      <c r="B39" s="81" t="s">
        <v>260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39"/>
    </row>
    <row r="40" spans="1:16" ht="22.5" customHeight="1" x14ac:dyDescent="0.25">
      <c r="A40" s="38"/>
      <c r="B40" s="393" t="s">
        <v>259</v>
      </c>
      <c r="C40" s="394" t="s">
        <v>271</v>
      </c>
      <c r="D40" s="395" t="s">
        <v>264</v>
      </c>
      <c r="E40" s="394" t="s">
        <v>258</v>
      </c>
      <c r="F40" s="394" t="s">
        <v>272</v>
      </c>
      <c r="G40" s="394" t="s">
        <v>112</v>
      </c>
      <c r="H40" s="394" t="s">
        <v>111</v>
      </c>
      <c r="I40" s="59"/>
      <c r="J40" s="400" t="s">
        <v>402</v>
      </c>
      <c r="K40" s="401"/>
      <c r="L40" s="401"/>
      <c r="M40" s="401"/>
      <c r="N40" s="401"/>
      <c r="O40" s="402"/>
      <c r="P40" s="39"/>
    </row>
    <row r="41" spans="1:16" ht="24" customHeight="1" x14ac:dyDescent="0.3">
      <c r="A41" s="38"/>
      <c r="B41" s="393"/>
      <c r="C41" s="394"/>
      <c r="D41" s="396"/>
      <c r="E41" s="394"/>
      <c r="F41" s="394"/>
      <c r="G41" s="394"/>
      <c r="H41" s="394"/>
      <c r="I41" s="59"/>
      <c r="J41" s="397" t="s">
        <v>403</v>
      </c>
      <c r="K41" s="398"/>
      <c r="L41" s="398"/>
      <c r="M41" s="398"/>
      <c r="N41" s="398"/>
      <c r="O41" s="399"/>
      <c r="P41" s="39"/>
    </row>
    <row r="42" spans="1:16" x14ac:dyDescent="0.25">
      <c r="A42" s="38"/>
      <c r="B42" s="306" t="s">
        <v>261</v>
      </c>
      <c r="C42" s="301"/>
      <c r="D42" s="302" t="s">
        <v>146</v>
      </c>
      <c r="E42" s="303" t="s">
        <v>149</v>
      </c>
      <c r="F42" s="304"/>
      <c r="G42" s="305"/>
      <c r="H42" s="200" t="str">
        <f>IF(C42=0,"",(C42*(F42/12)*(1+F42/12)^G42)/(((1+F42/12)^G42)-1))</f>
        <v/>
      </c>
      <c r="I42" s="59"/>
      <c r="J42" s="277"/>
      <c r="K42" s="278"/>
      <c r="L42" s="278"/>
      <c r="M42" s="278"/>
      <c r="N42" s="278"/>
      <c r="O42" s="279"/>
      <c r="P42" s="39"/>
    </row>
    <row r="43" spans="1:16" x14ac:dyDescent="0.25">
      <c r="A43" s="38"/>
      <c r="B43" s="306" t="s">
        <v>262</v>
      </c>
      <c r="C43" s="301"/>
      <c r="D43" s="302" t="s">
        <v>146</v>
      </c>
      <c r="E43" s="303" t="s">
        <v>149</v>
      </c>
      <c r="F43" s="304"/>
      <c r="G43" s="305"/>
      <c r="H43" s="200" t="str">
        <f>IF(C43=0,"",(C43*(F43/12)*(1+F43/12)^G43)/(((1+F43/12)^G43)-1))</f>
        <v/>
      </c>
      <c r="I43" s="59"/>
      <c r="J43" s="59"/>
      <c r="K43" s="59"/>
      <c r="L43" s="59"/>
      <c r="M43" s="59"/>
      <c r="N43" s="59"/>
      <c r="O43" s="59"/>
      <c r="P43" s="39"/>
    </row>
    <row r="44" spans="1:16" x14ac:dyDescent="0.25">
      <c r="A44" s="38"/>
      <c r="B44" s="306" t="s">
        <v>263</v>
      </c>
      <c r="C44" s="301"/>
      <c r="D44" s="302" t="s">
        <v>146</v>
      </c>
      <c r="E44" s="303" t="s">
        <v>149</v>
      </c>
      <c r="F44" s="304"/>
      <c r="G44" s="305"/>
      <c r="H44" s="200" t="str">
        <f>IF(C44=0,"",(C44*(F44/12)*(1+F44/12)^G44)/(((1+F44/12)^G44)-1))</f>
        <v/>
      </c>
      <c r="I44" s="59"/>
      <c r="J44" s="59"/>
      <c r="K44" s="59"/>
      <c r="L44" s="59"/>
      <c r="M44" s="59"/>
      <c r="N44" s="59"/>
      <c r="O44" s="59"/>
      <c r="P44" s="39"/>
    </row>
    <row r="45" spans="1:16" x14ac:dyDescent="0.25">
      <c r="A45" s="38"/>
      <c r="B45" s="31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39"/>
    </row>
    <row r="46" spans="1:16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</row>
    <row r="47" spans="1:16" x14ac:dyDescent="0.25">
      <c r="A47" s="26"/>
      <c r="P47" s="34"/>
    </row>
    <row r="48" spans="1:16" x14ac:dyDescent="0.25">
      <c r="A48" s="26"/>
      <c r="P48" s="34"/>
    </row>
    <row r="49" spans="1:16" x14ac:dyDescent="0.25">
      <c r="A49" s="26"/>
      <c r="P49" s="34"/>
    </row>
    <row r="50" spans="1:16" x14ac:dyDescent="0.25">
      <c r="A50" s="26"/>
      <c r="P50" s="34"/>
    </row>
    <row r="51" spans="1:16" x14ac:dyDescent="0.25">
      <c r="A51" s="26"/>
      <c r="P51" s="34"/>
    </row>
    <row r="52" spans="1:16" x14ac:dyDescent="0.25">
      <c r="A52" s="26"/>
      <c r="P52" s="34"/>
    </row>
    <row r="53" spans="1:16" x14ac:dyDescent="0.25">
      <c r="A53" s="26"/>
      <c r="P53" s="34"/>
    </row>
    <row r="54" spans="1:16" x14ac:dyDescent="0.25">
      <c r="A54" s="26"/>
      <c r="P54" s="34"/>
    </row>
    <row r="55" spans="1:16" x14ac:dyDescent="0.25">
      <c r="A55" s="26"/>
      <c r="P55" s="34"/>
    </row>
    <row r="56" spans="1:16" x14ac:dyDescent="0.25">
      <c r="A56" s="26"/>
      <c r="P56" s="34"/>
    </row>
    <row r="57" spans="1:16" x14ac:dyDescent="0.25">
      <c r="A57" s="26"/>
      <c r="P57" s="34"/>
    </row>
    <row r="58" spans="1:16" x14ac:dyDescent="0.25">
      <c r="A58" s="26"/>
      <c r="P58" s="34"/>
    </row>
    <row r="59" spans="1:16" x14ac:dyDescent="0.25">
      <c r="A59" s="26"/>
      <c r="P59" s="34"/>
    </row>
    <row r="60" spans="1:16" x14ac:dyDescent="0.25">
      <c r="A60" s="26"/>
      <c r="P60" s="34"/>
    </row>
    <row r="61" spans="1:16" x14ac:dyDescent="0.25">
      <c r="A61" s="26"/>
      <c r="P61" s="34"/>
    </row>
    <row r="62" spans="1:16" x14ac:dyDescent="0.25">
      <c r="A62" s="26"/>
      <c r="P62" s="34"/>
    </row>
    <row r="63" spans="1:16" x14ac:dyDescent="0.25">
      <c r="A63" s="26"/>
      <c r="P63" s="34"/>
    </row>
    <row r="64" spans="1:16" x14ac:dyDescent="0.25">
      <c r="A64" s="26"/>
      <c r="P64" s="34"/>
    </row>
    <row r="65" spans="1:16" x14ac:dyDescent="0.25">
      <c r="A65" s="26"/>
      <c r="P65" s="34"/>
    </row>
    <row r="66" spans="1:16" x14ac:dyDescent="0.25">
      <c r="A66" s="26"/>
      <c r="P66" s="34"/>
    </row>
    <row r="67" spans="1:16" x14ac:dyDescent="0.25">
      <c r="A67" s="26"/>
      <c r="P67" s="34"/>
    </row>
    <row r="68" spans="1:16" x14ac:dyDescent="0.25">
      <c r="A68" s="26"/>
      <c r="P68" s="34"/>
    </row>
    <row r="69" spans="1:16" x14ac:dyDescent="0.25">
      <c r="A69" s="26"/>
      <c r="P69" s="34"/>
    </row>
    <row r="70" spans="1:16" x14ac:dyDescent="0.25">
      <c r="A70" s="26"/>
      <c r="P70" s="34"/>
    </row>
    <row r="71" spans="1:16" x14ac:dyDescent="0.25">
      <c r="A71" s="26"/>
      <c r="P71" s="34"/>
    </row>
    <row r="72" spans="1:16" x14ac:dyDescent="0.25">
      <c r="A72" s="26"/>
      <c r="P72" s="34"/>
    </row>
    <row r="73" spans="1:16" x14ac:dyDescent="0.25">
      <c r="A73" s="26"/>
      <c r="P73" s="34"/>
    </row>
    <row r="74" spans="1:16" x14ac:dyDescent="0.25">
      <c r="A74" s="26"/>
      <c r="P74" s="34"/>
    </row>
    <row r="75" spans="1:16" x14ac:dyDescent="0.25">
      <c r="A75" s="26"/>
      <c r="P75" s="34"/>
    </row>
    <row r="76" spans="1:16" x14ac:dyDescent="0.25">
      <c r="A76" s="26"/>
      <c r="P76" s="34"/>
    </row>
    <row r="77" spans="1:16" x14ac:dyDescent="0.25">
      <c r="A77" s="26"/>
      <c r="P77" s="34"/>
    </row>
    <row r="78" spans="1:16" x14ac:dyDescent="0.25">
      <c r="A78" s="26"/>
      <c r="P78" s="34"/>
    </row>
    <row r="79" spans="1:16" x14ac:dyDescent="0.25">
      <c r="A79" s="26"/>
      <c r="P79" s="34"/>
    </row>
    <row r="80" spans="1:16" x14ac:dyDescent="0.25">
      <c r="A80" s="26"/>
      <c r="P80" s="34"/>
    </row>
    <row r="81" spans="1:16" x14ac:dyDescent="0.25">
      <c r="A81" s="26"/>
      <c r="P81" s="34"/>
    </row>
    <row r="82" spans="1:16" x14ac:dyDescent="0.25">
      <c r="A82" s="26"/>
      <c r="P82" s="34"/>
    </row>
    <row r="83" spans="1:16" x14ac:dyDescent="0.25">
      <c r="A83" s="26"/>
      <c r="P83" s="34"/>
    </row>
    <row r="84" spans="1:16" x14ac:dyDescent="0.25">
      <c r="A84" s="26"/>
      <c r="P84" s="34"/>
    </row>
    <row r="85" spans="1:16" x14ac:dyDescent="0.25">
      <c r="A85" s="26"/>
      <c r="P85" s="34"/>
    </row>
    <row r="86" spans="1:16" x14ac:dyDescent="0.25">
      <c r="A86" s="26"/>
      <c r="P86" s="34"/>
    </row>
    <row r="87" spans="1:16" x14ac:dyDescent="0.25">
      <c r="A87" s="26"/>
      <c r="P87" s="34"/>
    </row>
    <row r="88" spans="1:16" x14ac:dyDescent="0.25">
      <c r="A88" s="26"/>
      <c r="P88" s="34"/>
    </row>
    <row r="89" spans="1:16" x14ac:dyDescent="0.25">
      <c r="A89" s="26"/>
      <c r="P89" s="34"/>
    </row>
    <row r="90" spans="1:16" x14ac:dyDescent="0.25">
      <c r="A90" s="26"/>
      <c r="P90" s="34"/>
    </row>
    <row r="91" spans="1:16" x14ac:dyDescent="0.25">
      <c r="A91" s="26"/>
      <c r="P91" s="34"/>
    </row>
    <row r="92" spans="1:16" x14ac:dyDescent="0.25">
      <c r="A92" s="26"/>
      <c r="P92" s="34"/>
    </row>
    <row r="93" spans="1:16" x14ac:dyDescent="0.25">
      <c r="A93" s="26"/>
      <c r="P93" s="34"/>
    </row>
    <row r="94" spans="1:16" x14ac:dyDescent="0.25">
      <c r="A94" s="26"/>
      <c r="P94" s="34"/>
    </row>
    <row r="95" spans="1:16" x14ac:dyDescent="0.25">
      <c r="A95" s="26"/>
      <c r="P95" s="34"/>
    </row>
    <row r="96" spans="1:16" x14ac:dyDescent="0.25">
      <c r="A96" s="26"/>
      <c r="P96" s="34"/>
    </row>
    <row r="97" spans="1:16" x14ac:dyDescent="0.25">
      <c r="A97" s="26"/>
      <c r="P97" s="34"/>
    </row>
    <row r="98" spans="1:16" x14ac:dyDescent="0.25">
      <c r="A98" s="26"/>
      <c r="P98" s="34"/>
    </row>
    <row r="99" spans="1:16" x14ac:dyDescent="0.25">
      <c r="A99" s="26"/>
      <c r="P99" s="34"/>
    </row>
    <row r="100" spans="1:16" x14ac:dyDescent="0.25">
      <c r="A100" s="26"/>
      <c r="P100" s="34"/>
    </row>
    <row r="101" spans="1:16" x14ac:dyDescent="0.25">
      <c r="A101" s="26"/>
      <c r="P101" s="34"/>
    </row>
    <row r="102" spans="1:16" x14ac:dyDescent="0.25">
      <c r="A102" s="26"/>
      <c r="P102" s="34"/>
    </row>
    <row r="103" spans="1:16" x14ac:dyDescent="0.25">
      <c r="A103" s="26"/>
      <c r="P103" s="34"/>
    </row>
    <row r="104" spans="1:16" x14ac:dyDescent="0.25">
      <c r="A104" s="26"/>
      <c r="P104" s="34"/>
    </row>
    <row r="105" spans="1:16" x14ac:dyDescent="0.25">
      <c r="A105" s="26"/>
      <c r="P105" s="34"/>
    </row>
    <row r="106" spans="1:16" x14ac:dyDescent="0.25">
      <c r="A106" s="26"/>
      <c r="P106" s="34"/>
    </row>
    <row r="107" spans="1:16" x14ac:dyDescent="0.25">
      <c r="A107" s="26"/>
      <c r="P107" s="34"/>
    </row>
    <row r="108" spans="1:16" x14ac:dyDescent="0.25">
      <c r="A108" s="26"/>
      <c r="P108" s="34"/>
    </row>
    <row r="109" spans="1:16" x14ac:dyDescent="0.25">
      <c r="A109" s="26"/>
      <c r="P109" s="34"/>
    </row>
    <row r="110" spans="1:16" x14ac:dyDescent="0.25">
      <c r="A110" s="26"/>
      <c r="P110" s="34"/>
    </row>
    <row r="111" spans="1:16" x14ac:dyDescent="0.25">
      <c r="A111" s="26"/>
      <c r="P111" s="34"/>
    </row>
    <row r="112" spans="1:16" x14ac:dyDescent="0.25">
      <c r="A112" s="26"/>
      <c r="P112" s="34"/>
    </row>
    <row r="113" spans="1:16" x14ac:dyDescent="0.25">
      <c r="A113" s="26"/>
      <c r="P113" s="34"/>
    </row>
    <row r="114" spans="1:16" x14ac:dyDescent="0.25">
      <c r="A114" s="26"/>
      <c r="P114" s="34"/>
    </row>
    <row r="115" spans="1:16" x14ac:dyDescent="0.25">
      <c r="A115" s="26"/>
      <c r="P115" s="34"/>
    </row>
    <row r="116" spans="1:16" x14ac:dyDescent="0.25">
      <c r="A116" s="26"/>
      <c r="P116" s="34"/>
    </row>
    <row r="117" spans="1:16" x14ac:dyDescent="0.25">
      <c r="A117" s="26"/>
      <c r="P117" s="34"/>
    </row>
    <row r="118" spans="1:16" x14ac:dyDescent="0.25">
      <c r="A118" s="26"/>
      <c r="P118" s="34"/>
    </row>
    <row r="119" spans="1:16" x14ac:dyDescent="0.25">
      <c r="A119" s="26"/>
      <c r="P119" s="34"/>
    </row>
    <row r="120" spans="1:16" x14ac:dyDescent="0.25">
      <c r="A120" s="26"/>
      <c r="P120" s="34"/>
    </row>
    <row r="121" spans="1:16" x14ac:dyDescent="0.25">
      <c r="A121" s="26"/>
      <c r="P121" s="34"/>
    </row>
    <row r="122" spans="1:16" x14ac:dyDescent="0.25">
      <c r="A122" s="26"/>
      <c r="P122" s="34"/>
    </row>
    <row r="123" spans="1:16" x14ac:dyDescent="0.25">
      <c r="A123" s="26"/>
      <c r="P123" s="34"/>
    </row>
    <row r="124" spans="1:16" x14ac:dyDescent="0.25">
      <c r="A124" s="26"/>
      <c r="P124" s="34"/>
    </row>
    <row r="125" spans="1:16" x14ac:dyDescent="0.25">
      <c r="A125" s="26"/>
      <c r="P125" s="34"/>
    </row>
    <row r="126" spans="1:16" x14ac:dyDescent="0.25">
      <c r="A126" s="26"/>
      <c r="P126" s="34"/>
    </row>
    <row r="127" spans="1:16" x14ac:dyDescent="0.25">
      <c r="A127" s="26"/>
      <c r="P127" s="34"/>
    </row>
    <row r="128" spans="1:16" x14ac:dyDescent="0.25">
      <c r="A128" s="26"/>
      <c r="P128" s="34"/>
    </row>
    <row r="129" spans="1:16" x14ac:dyDescent="0.25">
      <c r="A129" s="26"/>
      <c r="P129" s="34"/>
    </row>
    <row r="130" spans="1:16" x14ac:dyDescent="0.25">
      <c r="A130" s="26"/>
      <c r="P130" s="34"/>
    </row>
    <row r="131" spans="1:16" x14ac:dyDescent="0.25">
      <c r="A131" s="26"/>
      <c r="P131" s="34"/>
    </row>
    <row r="132" spans="1:16" x14ac:dyDescent="0.25">
      <c r="A132" s="26"/>
      <c r="P132" s="34"/>
    </row>
    <row r="133" spans="1:16" x14ac:dyDescent="0.25">
      <c r="A133" s="26"/>
      <c r="P133" s="34"/>
    </row>
    <row r="134" spans="1:16" x14ac:dyDescent="0.25">
      <c r="A134" s="26"/>
      <c r="P134" s="34"/>
    </row>
    <row r="135" spans="1:16" x14ac:dyDescent="0.25">
      <c r="A135" s="26"/>
      <c r="P135" s="34"/>
    </row>
    <row r="136" spans="1:16" x14ac:dyDescent="0.25">
      <c r="A136" s="26"/>
      <c r="P136" s="34"/>
    </row>
    <row r="137" spans="1:16" x14ac:dyDescent="0.25">
      <c r="A137" s="26"/>
      <c r="P137" s="34"/>
    </row>
    <row r="138" spans="1:16" x14ac:dyDescent="0.25">
      <c r="A138" s="26"/>
      <c r="P138" s="34"/>
    </row>
    <row r="139" spans="1:16" x14ac:dyDescent="0.25">
      <c r="A139" s="26"/>
      <c r="P139" s="34"/>
    </row>
    <row r="140" spans="1:16" x14ac:dyDescent="0.25">
      <c r="A140" s="26"/>
      <c r="P140" s="34"/>
    </row>
    <row r="141" spans="1:16" x14ac:dyDescent="0.25">
      <c r="A141" s="26"/>
      <c r="P141" s="34"/>
    </row>
    <row r="142" spans="1:16" x14ac:dyDescent="0.25">
      <c r="A142" s="26"/>
      <c r="P142" s="34"/>
    </row>
    <row r="143" spans="1:16" x14ac:dyDescent="0.25">
      <c r="A143" s="26"/>
      <c r="P143" s="34"/>
    </row>
    <row r="144" spans="1:16" x14ac:dyDescent="0.25">
      <c r="A144" s="26"/>
      <c r="P144" s="34"/>
    </row>
    <row r="145" spans="1:16" x14ac:dyDescent="0.25">
      <c r="A145" s="26"/>
      <c r="P145" s="34"/>
    </row>
    <row r="146" spans="1:16" x14ac:dyDescent="0.25">
      <c r="A146" s="26"/>
      <c r="P146" s="34"/>
    </row>
    <row r="147" spans="1:16" x14ac:dyDescent="0.25">
      <c r="A147" s="26"/>
      <c r="P147" s="34"/>
    </row>
    <row r="148" spans="1:16" x14ac:dyDescent="0.25">
      <c r="A148" s="26"/>
      <c r="P148" s="34"/>
    </row>
    <row r="149" spans="1:16" x14ac:dyDescent="0.25">
      <c r="A149" s="26"/>
      <c r="P149" s="34"/>
    </row>
    <row r="150" spans="1:16" x14ac:dyDescent="0.25">
      <c r="A150" s="26"/>
      <c r="P150" s="34"/>
    </row>
    <row r="151" spans="1:16" x14ac:dyDescent="0.25">
      <c r="A151" s="26"/>
      <c r="P151" s="34"/>
    </row>
    <row r="152" spans="1:16" x14ac:dyDescent="0.25">
      <c r="A152" s="26"/>
      <c r="P152" s="34"/>
    </row>
    <row r="153" spans="1:16" x14ac:dyDescent="0.25">
      <c r="A153" s="26"/>
      <c r="P153" s="34"/>
    </row>
    <row r="154" spans="1:16" x14ac:dyDescent="0.25">
      <c r="A154" s="26"/>
      <c r="P154" s="34"/>
    </row>
    <row r="155" spans="1:16" x14ac:dyDescent="0.25">
      <c r="A155" s="26"/>
      <c r="P155" s="34"/>
    </row>
    <row r="156" spans="1:16" x14ac:dyDescent="0.25">
      <c r="A156" s="26"/>
      <c r="P156" s="34"/>
    </row>
    <row r="157" spans="1:16" x14ac:dyDescent="0.25">
      <c r="A157" s="26"/>
      <c r="P157" s="34"/>
    </row>
    <row r="158" spans="1:16" x14ac:dyDescent="0.25">
      <c r="A158" s="26"/>
      <c r="P158" s="34"/>
    </row>
    <row r="159" spans="1:16" x14ac:dyDescent="0.25">
      <c r="A159" s="26"/>
      <c r="P159" s="34"/>
    </row>
    <row r="160" spans="1:16" x14ac:dyDescent="0.25">
      <c r="A160" s="26"/>
      <c r="P160" s="34"/>
    </row>
    <row r="161" spans="1:16" x14ac:dyDescent="0.25">
      <c r="A161" s="26"/>
      <c r="P161" s="34"/>
    </row>
    <row r="162" spans="1:16" x14ac:dyDescent="0.25">
      <c r="A162" s="26"/>
      <c r="P162" s="34"/>
    </row>
    <row r="163" spans="1:16" x14ac:dyDescent="0.25">
      <c r="A163" s="26"/>
      <c r="P163" s="34"/>
    </row>
    <row r="164" spans="1:16" x14ac:dyDescent="0.25">
      <c r="A164" s="26"/>
      <c r="P164" s="34"/>
    </row>
    <row r="165" spans="1:16" x14ac:dyDescent="0.25">
      <c r="A165" s="26"/>
      <c r="P165" s="34"/>
    </row>
    <row r="166" spans="1:16" x14ac:dyDescent="0.25">
      <c r="A166" s="26"/>
      <c r="P166" s="34"/>
    </row>
    <row r="167" spans="1:16" x14ac:dyDescent="0.25">
      <c r="A167" s="26"/>
      <c r="P167" s="34"/>
    </row>
    <row r="168" spans="1:16" x14ac:dyDescent="0.25">
      <c r="A168" s="26"/>
      <c r="P168" s="34"/>
    </row>
    <row r="169" spans="1:16" x14ac:dyDescent="0.25">
      <c r="A169" s="26"/>
      <c r="P169" s="34"/>
    </row>
    <row r="170" spans="1:16" x14ac:dyDescent="0.25">
      <c r="A170" s="26"/>
      <c r="P170" s="34"/>
    </row>
    <row r="171" spans="1:16" x14ac:dyDescent="0.25">
      <c r="A171" s="26"/>
      <c r="P171" s="34"/>
    </row>
    <row r="172" spans="1:16" x14ac:dyDescent="0.25">
      <c r="A172" s="26"/>
      <c r="P172" s="34"/>
    </row>
    <row r="173" spans="1:16" x14ac:dyDescent="0.25">
      <c r="A173" s="26"/>
      <c r="P173" s="34"/>
    </row>
    <row r="174" spans="1:16" x14ac:dyDescent="0.25">
      <c r="A174" s="26"/>
      <c r="P174" s="34"/>
    </row>
    <row r="175" spans="1:16" x14ac:dyDescent="0.25">
      <c r="A175" s="26"/>
      <c r="P175" s="34"/>
    </row>
    <row r="176" spans="1:16" x14ac:dyDescent="0.25">
      <c r="A176" s="26"/>
      <c r="P176" s="34"/>
    </row>
    <row r="177" spans="1:16" x14ac:dyDescent="0.25">
      <c r="A177" s="26"/>
      <c r="P177" s="34"/>
    </row>
    <row r="178" spans="1:16" x14ac:dyDescent="0.25">
      <c r="A178" s="26"/>
      <c r="P178" s="34"/>
    </row>
    <row r="179" spans="1:16" x14ac:dyDescent="0.25">
      <c r="A179" s="26"/>
      <c r="P179" s="34"/>
    </row>
    <row r="180" spans="1:16" x14ac:dyDescent="0.25">
      <c r="A180" s="26"/>
      <c r="P180" s="34"/>
    </row>
    <row r="181" spans="1:16" x14ac:dyDescent="0.25">
      <c r="A181" s="26"/>
      <c r="P181" s="34"/>
    </row>
    <row r="182" spans="1:16" x14ac:dyDescent="0.25">
      <c r="A182" s="26"/>
      <c r="P182" s="34"/>
    </row>
    <row r="183" spans="1:16" x14ac:dyDescent="0.25">
      <c r="A183" s="26"/>
      <c r="P183" s="34"/>
    </row>
    <row r="184" spans="1:16" x14ac:dyDescent="0.25">
      <c r="A184" s="26"/>
      <c r="P184" s="34"/>
    </row>
    <row r="185" spans="1:16" x14ac:dyDescent="0.25">
      <c r="A185" s="26"/>
      <c r="P185" s="34"/>
    </row>
    <row r="186" spans="1:16" x14ac:dyDescent="0.25">
      <c r="A186" s="26"/>
      <c r="P186" s="34"/>
    </row>
    <row r="187" spans="1:16" x14ac:dyDescent="0.25">
      <c r="A187" s="26"/>
      <c r="P187" s="34"/>
    </row>
    <row r="188" spans="1:16" x14ac:dyDescent="0.25">
      <c r="A188" s="26"/>
      <c r="P188" s="34"/>
    </row>
    <row r="189" spans="1:16" x14ac:dyDescent="0.25">
      <c r="A189" s="26"/>
      <c r="P189" s="34"/>
    </row>
    <row r="190" spans="1:16" x14ac:dyDescent="0.25">
      <c r="A190" s="26"/>
      <c r="P190" s="34"/>
    </row>
    <row r="191" spans="1:16" x14ac:dyDescent="0.25">
      <c r="A191" s="26"/>
      <c r="P191" s="34"/>
    </row>
    <row r="192" spans="1:16" x14ac:dyDescent="0.25">
      <c r="A192" s="26"/>
      <c r="P192" s="34"/>
    </row>
    <row r="193" spans="1:16" x14ac:dyDescent="0.25">
      <c r="A193" s="26"/>
      <c r="P193" s="34"/>
    </row>
    <row r="194" spans="1:16" x14ac:dyDescent="0.25">
      <c r="A194" s="26"/>
      <c r="P194" s="34"/>
    </row>
    <row r="195" spans="1:16" x14ac:dyDescent="0.25">
      <c r="A195" s="26"/>
      <c r="P195" s="34"/>
    </row>
    <row r="196" spans="1:16" x14ac:dyDescent="0.25">
      <c r="A196" s="26"/>
      <c r="P196" s="34"/>
    </row>
    <row r="197" spans="1:16" x14ac:dyDescent="0.25">
      <c r="A197" s="26"/>
      <c r="P197" s="34"/>
    </row>
    <row r="198" spans="1:16" x14ac:dyDescent="0.25">
      <c r="A198" s="26"/>
      <c r="P198" s="34"/>
    </row>
    <row r="199" spans="1:16" x14ac:dyDescent="0.25">
      <c r="A199" s="26"/>
      <c r="P199" s="34"/>
    </row>
    <row r="200" spans="1:16" x14ac:dyDescent="0.25">
      <c r="A200" s="26"/>
      <c r="P200" s="34"/>
    </row>
    <row r="201" spans="1:16" x14ac:dyDescent="0.25">
      <c r="A201" s="26"/>
      <c r="P201" s="34"/>
    </row>
    <row r="202" spans="1:16" x14ac:dyDescent="0.25">
      <c r="A202" s="26"/>
      <c r="P202" s="34"/>
    </row>
    <row r="203" spans="1:16" x14ac:dyDescent="0.25">
      <c r="A203" s="26"/>
      <c r="P203" s="34"/>
    </row>
    <row r="204" spans="1:16" x14ac:dyDescent="0.25">
      <c r="A204" s="26"/>
      <c r="P204" s="34"/>
    </row>
    <row r="205" spans="1:16" x14ac:dyDescent="0.25">
      <c r="A205" s="26"/>
      <c r="P205" s="34"/>
    </row>
    <row r="206" spans="1:16" x14ac:dyDescent="0.25">
      <c r="A206" s="26"/>
      <c r="P206" s="34"/>
    </row>
    <row r="207" spans="1:16" x14ac:dyDescent="0.25">
      <c r="A207" s="26"/>
      <c r="P207" s="34"/>
    </row>
    <row r="208" spans="1:16" x14ac:dyDescent="0.25">
      <c r="P208" s="34"/>
    </row>
    <row r="209" spans="16:16" x14ac:dyDescent="0.25">
      <c r="P209" s="34"/>
    </row>
    <row r="210" spans="16:16" x14ac:dyDescent="0.25">
      <c r="P210" s="34"/>
    </row>
    <row r="211" spans="16:16" x14ac:dyDescent="0.25">
      <c r="P211" s="34"/>
    </row>
    <row r="212" spans="16:16" x14ac:dyDescent="0.25">
      <c r="P212" s="34"/>
    </row>
    <row r="213" spans="16:16" x14ac:dyDescent="0.25">
      <c r="P213" s="34"/>
    </row>
    <row r="214" spans="16:16" x14ac:dyDescent="0.25">
      <c r="P214" s="34"/>
    </row>
    <row r="215" spans="16:16" x14ac:dyDescent="0.25">
      <c r="P215" s="34"/>
    </row>
    <row r="216" spans="16:16" x14ac:dyDescent="0.25">
      <c r="P216" s="34"/>
    </row>
    <row r="217" spans="16:16" x14ac:dyDescent="0.25">
      <c r="P217" s="34"/>
    </row>
    <row r="218" spans="16:16" x14ac:dyDescent="0.25">
      <c r="P218" s="34"/>
    </row>
    <row r="219" spans="16:16" x14ac:dyDescent="0.25">
      <c r="P219" s="34"/>
    </row>
    <row r="220" spans="16:16" x14ac:dyDescent="0.25">
      <c r="P220" s="34"/>
    </row>
    <row r="221" spans="16:16" x14ac:dyDescent="0.25">
      <c r="P221" s="34"/>
    </row>
    <row r="222" spans="16:16" x14ac:dyDescent="0.25">
      <c r="P222" s="34"/>
    </row>
    <row r="223" spans="16:16" x14ac:dyDescent="0.25">
      <c r="P223" s="34"/>
    </row>
    <row r="224" spans="16:16" x14ac:dyDescent="0.25">
      <c r="P224" s="34"/>
    </row>
    <row r="225" spans="16:16" x14ac:dyDescent="0.25">
      <c r="P225" s="34"/>
    </row>
    <row r="226" spans="16:16" x14ac:dyDescent="0.25">
      <c r="P226" s="34"/>
    </row>
    <row r="227" spans="16:16" x14ac:dyDescent="0.25">
      <c r="P227" s="34"/>
    </row>
    <row r="228" spans="16:16" x14ac:dyDescent="0.25">
      <c r="P228" s="34"/>
    </row>
    <row r="229" spans="16:16" x14ac:dyDescent="0.25">
      <c r="P229" s="34"/>
    </row>
    <row r="230" spans="16:16" x14ac:dyDescent="0.25">
      <c r="P230" s="34"/>
    </row>
    <row r="231" spans="16:16" x14ac:dyDescent="0.25">
      <c r="P231" s="34"/>
    </row>
    <row r="232" spans="16:16" x14ac:dyDescent="0.25">
      <c r="P232" s="34"/>
    </row>
    <row r="233" spans="16:16" x14ac:dyDescent="0.25">
      <c r="P233" s="34"/>
    </row>
    <row r="234" spans="16:16" x14ac:dyDescent="0.25">
      <c r="P234" s="34"/>
    </row>
    <row r="235" spans="16:16" x14ac:dyDescent="0.25">
      <c r="P235" s="34"/>
    </row>
    <row r="236" spans="16:16" x14ac:dyDescent="0.25">
      <c r="P236" s="34"/>
    </row>
    <row r="237" spans="16:16" x14ac:dyDescent="0.25">
      <c r="P237" s="34"/>
    </row>
    <row r="238" spans="16:16" x14ac:dyDescent="0.25">
      <c r="P238" s="34"/>
    </row>
    <row r="239" spans="16:16" x14ac:dyDescent="0.25">
      <c r="P239" s="34"/>
    </row>
    <row r="240" spans="16:16" x14ac:dyDescent="0.25">
      <c r="P240" s="34"/>
    </row>
    <row r="241" spans="16:16" x14ac:dyDescent="0.25">
      <c r="P241" s="34"/>
    </row>
    <row r="242" spans="16:16" x14ac:dyDescent="0.25">
      <c r="P242" s="34"/>
    </row>
    <row r="243" spans="16:16" x14ac:dyDescent="0.25">
      <c r="P243" s="34"/>
    </row>
    <row r="244" spans="16:16" x14ac:dyDescent="0.25">
      <c r="P244" s="34"/>
    </row>
    <row r="245" spans="16:16" x14ac:dyDescent="0.25">
      <c r="P245" s="34"/>
    </row>
    <row r="246" spans="16:16" x14ac:dyDescent="0.25">
      <c r="P246" s="34"/>
    </row>
  </sheetData>
  <sheetProtection algorithmName="SHA-512" hashValue="0KIiXWxPEEgZpPuhQw4cE08JZac7XLQkCd5pVilePVl7Vq1UEI63uVQNOTOd3RAwVe6mQzZ+ZB4yCQlO6fJB3A==" saltValue="/Y39bEc91mW9LKberowyrg==" spinCount="100000" sheet="1" objects="1" scenarios="1"/>
  <mergeCells count="10">
    <mergeCell ref="B2:O2"/>
    <mergeCell ref="B40:B41"/>
    <mergeCell ref="E40:E41"/>
    <mergeCell ref="F40:F41"/>
    <mergeCell ref="G40:G41"/>
    <mergeCell ref="H40:H41"/>
    <mergeCell ref="D40:D41"/>
    <mergeCell ref="C40:C41"/>
    <mergeCell ref="J41:O41"/>
    <mergeCell ref="J40:O40"/>
  </mergeCells>
  <hyperlinks>
    <hyperlink ref="B13" r:id="rId1"/>
    <hyperlink ref="C13" r:id="rId2"/>
    <hyperlink ref="E13" r:id="rId3"/>
    <hyperlink ref="J41" r:id="rId4"/>
  </hyperlinks>
  <pageMargins left="0.7" right="0.7" top="0.75" bottom="0.75" header="0.3" footer="0.3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Caractéristiques!$H$67:$H$78</xm:f>
          </x14:formula1>
          <xm:sqref>E42:E44</xm:sqref>
        </x14:dataValidation>
        <x14:dataValidation type="list" allowBlank="1" showInputMessage="1" showErrorMessage="1">
          <x14:formula1>
            <xm:f>Caractéristiques!$H$80:$H$82</xm:f>
          </x14:formula1>
          <xm:sqref>D42:D44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V272"/>
  <sheetViews>
    <sheetView showGridLines="0" topLeftCell="A7" zoomScale="90" zoomScaleNormal="90" workbookViewId="0">
      <selection activeCell="D23" sqref="D23"/>
    </sheetView>
  </sheetViews>
  <sheetFormatPr baseColWidth="10" defaultRowHeight="15" x14ac:dyDescent="0.25"/>
  <cols>
    <col min="1" max="1" width="2.42578125" style="29" customWidth="1"/>
    <col min="2" max="2" width="26.85546875" customWidth="1"/>
    <col min="3" max="14" width="15.7109375" customWidth="1"/>
    <col min="15" max="15" width="13.42578125" customWidth="1"/>
    <col min="16" max="16" width="3.28515625" style="29" customWidth="1"/>
    <col min="17" max="48" width="11.42578125" style="34"/>
  </cols>
  <sheetData>
    <row r="1" spans="1:48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48" ht="28.5" customHeight="1" x14ac:dyDescent="0.25">
      <c r="A2" s="38"/>
      <c r="B2" s="365" t="s">
        <v>161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9"/>
    </row>
    <row r="3" spans="1:48" s="29" customFormat="1" ht="15" customHeight="1" x14ac:dyDescent="0.25">
      <c r="A3" s="3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9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s="29" customFormat="1" ht="15" customHeight="1" x14ac:dyDescent="0.25">
      <c r="A4" s="38"/>
      <c r="B4" s="258" t="s">
        <v>27</v>
      </c>
      <c r="C4" s="259"/>
      <c r="D4" s="272"/>
      <c r="E4" s="272"/>
      <c r="F4" s="272"/>
      <c r="G4" s="272"/>
      <c r="H4" s="272"/>
      <c r="I4" s="273"/>
      <c r="J4" s="30"/>
      <c r="K4" s="30"/>
      <c r="L4" s="30"/>
      <c r="M4" s="30"/>
      <c r="N4" s="30"/>
      <c r="O4" s="30"/>
      <c r="P4" s="39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29" customFormat="1" ht="15" customHeight="1" x14ac:dyDescent="0.25">
      <c r="A5" s="38"/>
      <c r="B5" s="266" t="s">
        <v>163</v>
      </c>
      <c r="C5" s="262"/>
      <c r="D5" s="262"/>
      <c r="E5" s="274"/>
      <c r="F5" s="274"/>
      <c r="G5" s="274"/>
      <c r="H5" s="274"/>
      <c r="I5" s="263"/>
      <c r="J5" s="30"/>
      <c r="K5" s="30"/>
      <c r="L5" s="30"/>
      <c r="M5" s="30"/>
      <c r="N5" s="30"/>
      <c r="O5" s="30"/>
      <c r="P5" s="39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s="29" customFormat="1" ht="15" customHeight="1" x14ac:dyDescent="0.25">
      <c r="A6" s="38"/>
      <c r="B6" s="261" t="s">
        <v>646</v>
      </c>
      <c r="C6" s="262"/>
      <c r="D6" s="262"/>
      <c r="E6" s="274"/>
      <c r="F6" s="274"/>
      <c r="G6" s="274"/>
      <c r="H6" s="274"/>
      <c r="I6" s="263"/>
      <c r="J6" s="30"/>
      <c r="K6" s="30"/>
      <c r="L6" s="30"/>
      <c r="M6" s="30"/>
      <c r="N6" s="30"/>
      <c r="O6" s="30"/>
      <c r="P6" s="3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29" customFormat="1" ht="15" customHeight="1" x14ac:dyDescent="0.25">
      <c r="A7" s="38"/>
      <c r="B7" s="261" t="s">
        <v>635</v>
      </c>
      <c r="C7" s="262"/>
      <c r="D7" s="262"/>
      <c r="E7" s="274"/>
      <c r="F7" s="274"/>
      <c r="G7" s="274"/>
      <c r="H7" s="274"/>
      <c r="I7" s="263"/>
      <c r="J7" s="30"/>
      <c r="K7" s="30"/>
      <c r="L7" s="30"/>
      <c r="M7" s="30"/>
      <c r="N7" s="30"/>
      <c r="O7" s="30"/>
      <c r="P7" s="39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29" customFormat="1" ht="15" customHeight="1" x14ac:dyDescent="0.25">
      <c r="A8" s="38"/>
      <c r="B8" s="261" t="s">
        <v>647</v>
      </c>
      <c r="C8" s="262"/>
      <c r="D8" s="262"/>
      <c r="E8" s="274"/>
      <c r="F8" s="274"/>
      <c r="G8" s="274"/>
      <c r="H8" s="274"/>
      <c r="I8" s="263"/>
      <c r="J8" s="30"/>
      <c r="K8" s="30"/>
      <c r="L8" s="30"/>
      <c r="M8" s="30"/>
      <c r="N8" s="30"/>
      <c r="O8" s="30"/>
      <c r="P8" s="39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29" customFormat="1" ht="15" customHeight="1" x14ac:dyDescent="0.25">
      <c r="A9" s="38"/>
      <c r="B9" s="261" t="s">
        <v>648</v>
      </c>
      <c r="C9" s="262"/>
      <c r="D9" s="262"/>
      <c r="E9" s="274"/>
      <c r="F9" s="274"/>
      <c r="G9" s="274"/>
      <c r="H9" s="274"/>
      <c r="I9" s="263"/>
      <c r="J9" s="30"/>
      <c r="K9" s="30"/>
      <c r="L9" s="30"/>
      <c r="M9" s="30"/>
      <c r="N9" s="30"/>
      <c r="O9" s="30"/>
      <c r="P9" s="39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29" customFormat="1" ht="15" customHeight="1" x14ac:dyDescent="0.25">
      <c r="A10" s="38"/>
      <c r="B10" s="261" t="s">
        <v>649</v>
      </c>
      <c r="C10" s="262"/>
      <c r="D10" s="262"/>
      <c r="E10" s="274"/>
      <c r="F10" s="274"/>
      <c r="G10" s="274"/>
      <c r="H10" s="274"/>
      <c r="I10" s="263"/>
      <c r="J10" s="30"/>
      <c r="K10" s="30"/>
      <c r="L10" s="30"/>
      <c r="M10" s="30"/>
      <c r="N10" s="30"/>
      <c r="O10" s="30"/>
      <c r="P10" s="39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s="29" customFormat="1" ht="15" customHeight="1" x14ac:dyDescent="0.25">
      <c r="A11" s="38"/>
      <c r="B11" s="269" t="s">
        <v>361</v>
      </c>
      <c r="C11" s="262"/>
      <c r="D11" s="262"/>
      <c r="E11" s="274"/>
      <c r="F11" s="274"/>
      <c r="G11" s="274"/>
      <c r="H11" s="274"/>
      <c r="I11" s="263"/>
      <c r="J11" s="30"/>
      <c r="K11" s="30"/>
      <c r="L11" s="30"/>
      <c r="M11" s="30"/>
      <c r="N11" s="30"/>
      <c r="O11" s="30"/>
      <c r="P11" s="39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s="29" customFormat="1" ht="15" customHeight="1" x14ac:dyDescent="0.25">
      <c r="A12" s="38"/>
      <c r="B12" s="270" t="s">
        <v>397</v>
      </c>
      <c r="C12" s="264"/>
      <c r="D12" s="271" t="s">
        <v>398</v>
      </c>
      <c r="E12" s="275"/>
      <c r="F12" s="275"/>
      <c r="G12" s="275"/>
      <c r="H12" s="275"/>
      <c r="I12" s="265"/>
      <c r="J12" s="30"/>
      <c r="K12" s="30"/>
      <c r="L12" s="30"/>
      <c r="M12" s="30"/>
      <c r="N12" s="30"/>
      <c r="O12" s="30"/>
      <c r="P12" s="39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29" customFormat="1" ht="15" customHeight="1" x14ac:dyDescent="0.25">
      <c r="A13" s="38"/>
      <c r="C13" s="30"/>
      <c r="E13" s="30"/>
      <c r="F13" s="30"/>
      <c r="G13" s="30"/>
      <c r="H13" s="30"/>
      <c r="J13" s="30"/>
      <c r="K13" s="30"/>
      <c r="L13" s="30"/>
      <c r="M13" s="30"/>
      <c r="N13" s="30"/>
      <c r="O13" s="30"/>
      <c r="P13" s="39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s="29" customFormat="1" ht="15" customHeight="1" x14ac:dyDescent="0.25">
      <c r="A14" s="38"/>
      <c r="D14" s="118" t="s">
        <v>146</v>
      </c>
      <c r="E14" s="118" t="s">
        <v>147</v>
      </c>
      <c r="F14" s="118" t="s">
        <v>148</v>
      </c>
      <c r="G14" s="30"/>
      <c r="H14" s="30"/>
      <c r="J14" s="30"/>
      <c r="K14" s="30"/>
      <c r="L14" s="30"/>
      <c r="M14" s="30"/>
      <c r="N14" s="30"/>
      <c r="O14" s="30"/>
      <c r="P14" s="39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s="29" customFormat="1" ht="15" customHeight="1" x14ac:dyDescent="0.25">
      <c r="A15" s="38"/>
      <c r="B15" s="405" t="s">
        <v>246</v>
      </c>
      <c r="C15" s="405"/>
      <c r="D15" s="307">
        <v>0.5</v>
      </c>
      <c r="E15" s="308">
        <v>0.5</v>
      </c>
      <c r="F15" s="307">
        <v>0.5</v>
      </c>
      <c r="G15" s="30"/>
      <c r="H15" s="30"/>
      <c r="J15" s="30"/>
      <c r="K15" s="30"/>
      <c r="L15" s="30"/>
      <c r="M15" s="30"/>
      <c r="N15" s="30"/>
      <c r="O15" s="30"/>
      <c r="P15" s="39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29" customFormat="1" ht="15" customHeight="1" x14ac:dyDescent="0.25">
      <c r="A16" s="38"/>
      <c r="B16" s="406" t="s">
        <v>249</v>
      </c>
      <c r="C16" s="407"/>
      <c r="D16" s="309">
        <v>0</v>
      </c>
      <c r="E16" s="30"/>
      <c r="F16" s="30"/>
      <c r="G16" s="30"/>
      <c r="H16" s="30"/>
      <c r="J16" s="30"/>
      <c r="K16" s="30"/>
      <c r="L16" s="30"/>
      <c r="M16" s="30"/>
      <c r="N16" s="30"/>
      <c r="O16" s="30"/>
      <c r="P16" s="39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29" customFormat="1" ht="15" customHeight="1" x14ac:dyDescent="0.25">
      <c r="A17" s="38"/>
      <c r="B17" s="405" t="s">
        <v>248</v>
      </c>
      <c r="C17" s="405"/>
      <c r="D17" s="311">
        <v>0</v>
      </c>
      <c r="E17" s="311">
        <v>0</v>
      </c>
      <c r="F17" s="310">
        <v>0</v>
      </c>
      <c r="G17" s="30"/>
      <c r="H17" s="30"/>
      <c r="J17" s="30"/>
      <c r="K17" s="30"/>
      <c r="L17" s="30"/>
      <c r="M17" s="30"/>
      <c r="N17" s="30"/>
      <c r="O17" s="30"/>
      <c r="P17" s="39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s="29" customFormat="1" ht="15" customHeight="1" x14ac:dyDescent="0.25">
      <c r="A18" s="38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9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19.5" customHeight="1" x14ac:dyDescent="0.25">
      <c r="A19" s="38"/>
      <c r="B19" s="45" t="s">
        <v>146</v>
      </c>
      <c r="C19" s="46" t="s">
        <v>149</v>
      </c>
      <c r="D19" s="46" t="s">
        <v>150</v>
      </c>
      <c r="E19" s="46" t="s">
        <v>151</v>
      </c>
      <c r="F19" s="46" t="s">
        <v>152</v>
      </c>
      <c r="G19" s="46" t="s">
        <v>153</v>
      </c>
      <c r="H19" s="46" t="s">
        <v>154</v>
      </c>
      <c r="I19" s="46" t="s">
        <v>155</v>
      </c>
      <c r="J19" s="46" t="s">
        <v>156</v>
      </c>
      <c r="K19" s="46" t="s">
        <v>157</v>
      </c>
      <c r="L19" s="46" t="s">
        <v>158</v>
      </c>
      <c r="M19" s="46" t="s">
        <v>159</v>
      </c>
      <c r="N19" s="46" t="s">
        <v>160</v>
      </c>
      <c r="O19" s="50" t="s">
        <v>20</v>
      </c>
      <c r="P19" s="39"/>
    </row>
    <row r="20" spans="1:48" x14ac:dyDescent="0.25">
      <c r="A20" s="38"/>
      <c r="B20" s="293" t="s">
        <v>297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53">
        <f>SUM(C20:N20)</f>
        <v>0</v>
      </c>
      <c r="P20" s="39"/>
    </row>
    <row r="21" spans="1:48" x14ac:dyDescent="0.25">
      <c r="A21" s="38"/>
      <c r="B21" s="293" t="s">
        <v>298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53">
        <f t="shared" ref="O21:O28" si="0">SUM(C21:N21)</f>
        <v>0</v>
      </c>
      <c r="P21" s="39"/>
    </row>
    <row r="22" spans="1:48" x14ac:dyDescent="0.25">
      <c r="A22" s="38"/>
      <c r="B22" s="293" t="s">
        <v>299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53">
        <f t="shared" si="0"/>
        <v>0</v>
      </c>
      <c r="P22" s="39"/>
    </row>
    <row r="23" spans="1:48" x14ac:dyDescent="0.25">
      <c r="A23" s="38"/>
      <c r="B23" s="293" t="s">
        <v>300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53">
        <f t="shared" si="0"/>
        <v>0</v>
      </c>
      <c r="P23" s="39"/>
    </row>
    <row r="24" spans="1:48" x14ac:dyDescent="0.25">
      <c r="A24" s="38"/>
      <c r="B24" s="293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53">
        <f t="shared" si="0"/>
        <v>0</v>
      </c>
      <c r="P24" s="39"/>
    </row>
    <row r="25" spans="1:48" x14ac:dyDescent="0.25">
      <c r="A25" s="38"/>
      <c r="B25" s="293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53">
        <f t="shared" si="0"/>
        <v>0</v>
      </c>
      <c r="P25" s="39"/>
    </row>
    <row r="26" spans="1:48" x14ac:dyDescent="0.25">
      <c r="A26" s="38"/>
      <c r="B26" s="293"/>
      <c r="C26" s="299"/>
      <c r="D26" s="299"/>
      <c r="E26" s="299"/>
      <c r="F26" s="299"/>
      <c r="G26" s="299"/>
      <c r="H26" s="299" t="s">
        <v>352</v>
      </c>
      <c r="I26" s="299"/>
      <c r="J26" s="299"/>
      <c r="K26" s="299"/>
      <c r="L26" s="299"/>
      <c r="M26" s="299"/>
      <c r="N26" s="299"/>
      <c r="O26" s="53">
        <f t="shared" si="0"/>
        <v>0</v>
      </c>
      <c r="P26" s="39"/>
    </row>
    <row r="27" spans="1:48" x14ac:dyDescent="0.25">
      <c r="A27" s="38"/>
      <c r="B27" s="293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53">
        <f t="shared" si="0"/>
        <v>0</v>
      </c>
      <c r="P27" s="39"/>
    </row>
    <row r="28" spans="1:48" x14ac:dyDescent="0.25">
      <c r="A28" s="38"/>
      <c r="B28" s="293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53">
        <f t="shared" si="0"/>
        <v>0</v>
      </c>
      <c r="P28" s="39"/>
    </row>
    <row r="29" spans="1:48" s="28" customFormat="1" ht="18.75" customHeight="1" x14ac:dyDescent="0.25">
      <c r="A29" s="40"/>
      <c r="B29" s="51" t="s">
        <v>24</v>
      </c>
      <c r="C29" s="55">
        <f>SUM(C20:C27)</f>
        <v>0</v>
      </c>
      <c r="D29" s="55">
        <f t="shared" ref="D29:N29" si="1">SUM(D20:D27)</f>
        <v>0</v>
      </c>
      <c r="E29" s="55">
        <f t="shared" si="1"/>
        <v>0</v>
      </c>
      <c r="F29" s="55">
        <f t="shared" si="1"/>
        <v>0</v>
      </c>
      <c r="G29" s="55">
        <f t="shared" si="1"/>
        <v>0</v>
      </c>
      <c r="H29" s="55">
        <f t="shared" si="1"/>
        <v>0</v>
      </c>
      <c r="I29" s="55">
        <f t="shared" si="1"/>
        <v>0</v>
      </c>
      <c r="J29" s="55">
        <f t="shared" si="1"/>
        <v>0</v>
      </c>
      <c r="K29" s="55">
        <f t="shared" si="1"/>
        <v>0</v>
      </c>
      <c r="L29" s="55">
        <f t="shared" si="1"/>
        <v>0</v>
      </c>
      <c r="M29" s="55">
        <f t="shared" si="1"/>
        <v>0</v>
      </c>
      <c r="N29" s="55">
        <f t="shared" si="1"/>
        <v>0</v>
      </c>
      <c r="O29" s="55">
        <f>SUM(O20:O28)</f>
        <v>0</v>
      </c>
      <c r="P29" s="41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</row>
    <row r="30" spans="1:48" x14ac:dyDescent="0.25">
      <c r="A30" s="38"/>
      <c r="B30" s="47" t="s">
        <v>21</v>
      </c>
      <c r="C30" s="299"/>
      <c r="D30" s="121">
        <f>IF(C32=0,C30-C31,IF(C30-C31&gt;$D$17,C30-C31,$D$17))</f>
        <v>0</v>
      </c>
      <c r="E30" s="121">
        <f t="shared" ref="E30:N30" si="2">IF(D32=0,D30-D31,IF(D30-D31&gt;$D$17,D30-D31,$D$17))</f>
        <v>0</v>
      </c>
      <c r="F30" s="121">
        <f t="shared" si="2"/>
        <v>0</v>
      </c>
      <c r="G30" s="121">
        <f t="shared" si="2"/>
        <v>0</v>
      </c>
      <c r="H30" s="121">
        <f t="shared" si="2"/>
        <v>0</v>
      </c>
      <c r="I30" s="121">
        <f t="shared" si="2"/>
        <v>0</v>
      </c>
      <c r="J30" s="121">
        <f t="shared" si="2"/>
        <v>0</v>
      </c>
      <c r="K30" s="121">
        <f t="shared" si="2"/>
        <v>0</v>
      </c>
      <c r="L30" s="121">
        <f t="shared" si="2"/>
        <v>0</v>
      </c>
      <c r="M30" s="121">
        <f t="shared" si="2"/>
        <v>0</v>
      </c>
      <c r="N30" s="121">
        <f t="shared" si="2"/>
        <v>0</v>
      </c>
      <c r="O30" s="53"/>
      <c r="P30" s="39"/>
    </row>
    <row r="31" spans="1:48" x14ac:dyDescent="0.25">
      <c r="A31" s="38"/>
      <c r="B31" s="47" t="s">
        <v>247</v>
      </c>
      <c r="C31" s="57">
        <f>C29*(100%-$D$15)</f>
        <v>0</v>
      </c>
      <c r="D31" s="57">
        <f t="shared" ref="D31:N31" si="3">D29*(100%-$D$15)</f>
        <v>0</v>
      </c>
      <c r="E31" s="57">
        <f t="shared" si="3"/>
        <v>0</v>
      </c>
      <c r="F31" s="57">
        <f t="shared" si="3"/>
        <v>0</v>
      </c>
      <c r="G31" s="57">
        <f t="shared" si="3"/>
        <v>0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53">
        <f>SUM(C31:N31)+C29</f>
        <v>0</v>
      </c>
      <c r="P31" s="39"/>
    </row>
    <row r="32" spans="1:48" x14ac:dyDescent="0.25">
      <c r="A32" s="38"/>
      <c r="B32" s="48" t="s">
        <v>162</v>
      </c>
      <c r="C32" s="57">
        <f>IF((C30-C31)&lt;$D$17,((C31-C30)+$D$17),0)</f>
        <v>0</v>
      </c>
      <c r="D32" s="57">
        <f t="shared" ref="D32:N32" si="4">IF((D30-D31)&lt;$D$17,((D31-D30)+$D$17),0)</f>
        <v>0</v>
      </c>
      <c r="E32" s="57">
        <f t="shared" si="4"/>
        <v>0</v>
      </c>
      <c r="F32" s="57">
        <f t="shared" si="4"/>
        <v>0</v>
      </c>
      <c r="G32" s="57">
        <f t="shared" si="4"/>
        <v>0</v>
      </c>
      <c r="H32" s="57">
        <f t="shared" si="4"/>
        <v>0</v>
      </c>
      <c r="I32" s="57">
        <f t="shared" si="4"/>
        <v>0</v>
      </c>
      <c r="J32" s="57">
        <f t="shared" si="4"/>
        <v>0</v>
      </c>
      <c r="K32" s="57">
        <f t="shared" si="4"/>
        <v>0</v>
      </c>
      <c r="L32" s="57">
        <f t="shared" si="4"/>
        <v>0</v>
      </c>
      <c r="M32" s="57">
        <f t="shared" si="4"/>
        <v>0</v>
      </c>
      <c r="N32" s="57">
        <f t="shared" si="4"/>
        <v>0</v>
      </c>
      <c r="O32" s="53">
        <f>SUM(C32:N32)+C30</f>
        <v>0</v>
      </c>
      <c r="P32" s="39"/>
    </row>
    <row r="33" spans="1:48" x14ac:dyDescent="0.25">
      <c r="A33" s="38"/>
      <c r="B33" s="47" t="s">
        <v>22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>
        <f>N30-N31+N32</f>
        <v>0</v>
      </c>
      <c r="O33" s="53">
        <f>N33</f>
        <v>0</v>
      </c>
      <c r="P33" s="39"/>
    </row>
    <row r="34" spans="1:48" x14ac:dyDescent="0.25">
      <c r="A34" s="38"/>
      <c r="B34" s="49" t="s">
        <v>26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3">
        <f>-O33</f>
        <v>0</v>
      </c>
      <c r="P34" s="39"/>
    </row>
    <row r="35" spans="1:48" x14ac:dyDescent="0.25">
      <c r="A35" s="38"/>
      <c r="B35" s="31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403" t="s">
        <v>23</v>
      </c>
      <c r="N35" s="404"/>
      <c r="O35" s="53">
        <f>O29-O32-O34</f>
        <v>0</v>
      </c>
      <c r="P35" s="39"/>
    </row>
    <row r="36" spans="1:48" s="29" customFormat="1" ht="15" customHeight="1" x14ac:dyDescent="0.25">
      <c r="A36" s="38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9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ht="19.5" customHeight="1" x14ac:dyDescent="0.25">
      <c r="A37" s="38"/>
      <c r="B37" s="45" t="s">
        <v>147</v>
      </c>
      <c r="C37" s="46" t="s">
        <v>149</v>
      </c>
      <c r="D37" s="46" t="s">
        <v>150</v>
      </c>
      <c r="E37" s="46" t="s">
        <v>151</v>
      </c>
      <c r="F37" s="46" t="s">
        <v>152</v>
      </c>
      <c r="G37" s="46" t="s">
        <v>153</v>
      </c>
      <c r="H37" s="46" t="s">
        <v>154</v>
      </c>
      <c r="I37" s="46" t="s">
        <v>155</v>
      </c>
      <c r="J37" s="46" t="s">
        <v>156</v>
      </c>
      <c r="K37" s="46" t="s">
        <v>157</v>
      </c>
      <c r="L37" s="46" t="s">
        <v>158</v>
      </c>
      <c r="M37" s="46" t="s">
        <v>159</v>
      </c>
      <c r="N37" s="46" t="s">
        <v>160</v>
      </c>
      <c r="O37" s="50" t="s">
        <v>20</v>
      </c>
      <c r="P37" s="39"/>
    </row>
    <row r="38" spans="1:48" x14ac:dyDescent="0.25">
      <c r="A38" s="38"/>
      <c r="B38" s="293" t="s">
        <v>297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53">
        <f>SUM(C38:N38)</f>
        <v>0</v>
      </c>
      <c r="P38" s="39"/>
    </row>
    <row r="39" spans="1:48" x14ac:dyDescent="0.25">
      <c r="A39" s="38"/>
      <c r="B39" s="293" t="s">
        <v>298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53">
        <f t="shared" ref="O39:O46" si="5">SUM(C39:N39)</f>
        <v>0</v>
      </c>
      <c r="P39" s="39"/>
    </row>
    <row r="40" spans="1:48" x14ac:dyDescent="0.25">
      <c r="A40" s="38"/>
      <c r="B40" s="293" t="s">
        <v>299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53">
        <f t="shared" si="5"/>
        <v>0</v>
      </c>
      <c r="P40" s="39"/>
    </row>
    <row r="41" spans="1:48" x14ac:dyDescent="0.25">
      <c r="A41" s="38"/>
      <c r="B41" s="293" t="s">
        <v>300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53">
        <f t="shared" si="5"/>
        <v>0</v>
      </c>
      <c r="P41" s="39"/>
    </row>
    <row r="42" spans="1:48" x14ac:dyDescent="0.25">
      <c r="A42" s="38"/>
      <c r="B42" s="293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53">
        <f t="shared" si="5"/>
        <v>0</v>
      </c>
      <c r="P42" s="39"/>
    </row>
    <row r="43" spans="1:48" x14ac:dyDescent="0.25">
      <c r="A43" s="38"/>
      <c r="B43" s="293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53">
        <f t="shared" si="5"/>
        <v>0</v>
      </c>
      <c r="P43" s="39"/>
    </row>
    <row r="44" spans="1:48" x14ac:dyDescent="0.25">
      <c r="A44" s="38"/>
      <c r="B44" s="293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53">
        <f t="shared" si="5"/>
        <v>0</v>
      </c>
      <c r="P44" s="39"/>
    </row>
    <row r="45" spans="1:48" x14ac:dyDescent="0.25">
      <c r="A45" s="38"/>
      <c r="B45" s="293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53">
        <f t="shared" si="5"/>
        <v>0</v>
      </c>
      <c r="P45" s="39"/>
    </row>
    <row r="46" spans="1:48" x14ac:dyDescent="0.25">
      <c r="A46" s="38"/>
      <c r="B46" s="293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53">
        <f t="shared" si="5"/>
        <v>0</v>
      </c>
      <c r="P46" s="39"/>
    </row>
    <row r="47" spans="1:48" s="28" customFormat="1" ht="18.75" customHeight="1" x14ac:dyDescent="0.25">
      <c r="A47" s="40"/>
      <c r="B47" s="51" t="s">
        <v>24</v>
      </c>
      <c r="C47" s="55">
        <f>SUM(C38:C45)</f>
        <v>0</v>
      </c>
      <c r="D47" s="55">
        <f t="shared" ref="D47:N47" si="6">SUM(D38:D45)</f>
        <v>0</v>
      </c>
      <c r="E47" s="55">
        <f t="shared" si="6"/>
        <v>0</v>
      </c>
      <c r="F47" s="55">
        <f t="shared" si="6"/>
        <v>0</v>
      </c>
      <c r="G47" s="55">
        <f t="shared" si="6"/>
        <v>0</v>
      </c>
      <c r="H47" s="55">
        <f t="shared" si="6"/>
        <v>0</v>
      </c>
      <c r="I47" s="55">
        <f t="shared" si="6"/>
        <v>0</v>
      </c>
      <c r="J47" s="55">
        <f t="shared" si="6"/>
        <v>0</v>
      </c>
      <c r="K47" s="55">
        <f t="shared" si="6"/>
        <v>0</v>
      </c>
      <c r="L47" s="55">
        <f t="shared" si="6"/>
        <v>0</v>
      </c>
      <c r="M47" s="55">
        <f t="shared" si="6"/>
        <v>0</v>
      </c>
      <c r="N47" s="55">
        <f t="shared" si="6"/>
        <v>0</v>
      </c>
      <c r="O47" s="55">
        <f>SUM(O38:O46)</f>
        <v>0</v>
      </c>
      <c r="P47" s="41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</row>
    <row r="48" spans="1:48" x14ac:dyDescent="0.25">
      <c r="A48" s="38"/>
      <c r="B48" s="47" t="s">
        <v>21</v>
      </c>
      <c r="C48" s="57">
        <f>N33</f>
        <v>0</v>
      </c>
      <c r="D48" s="121">
        <f>IF(C50=0,C48-C49,IF(C48-C49&gt;$E$17,C48-C49,$E$17))</f>
        <v>0</v>
      </c>
      <c r="E48" s="121">
        <f>IF(D50=0,D48-D49,IF(D48-D49&gt;$E$17,D48-D49,$E$17))</f>
        <v>0</v>
      </c>
      <c r="F48" s="121">
        <f t="shared" ref="F48:N48" si="7">IF(E50=0,E48-E49,IF(E48-E49&gt;$E$17,E48-E49,$E$17))</f>
        <v>0</v>
      </c>
      <c r="G48" s="121">
        <f t="shared" si="7"/>
        <v>0</v>
      </c>
      <c r="H48" s="121">
        <f t="shared" si="7"/>
        <v>0</v>
      </c>
      <c r="I48" s="121">
        <f t="shared" si="7"/>
        <v>0</v>
      </c>
      <c r="J48" s="121">
        <f t="shared" si="7"/>
        <v>0</v>
      </c>
      <c r="K48" s="121">
        <f t="shared" si="7"/>
        <v>0</v>
      </c>
      <c r="L48" s="121">
        <f t="shared" si="7"/>
        <v>0</v>
      </c>
      <c r="M48" s="121">
        <f t="shared" si="7"/>
        <v>0</v>
      </c>
      <c r="N48" s="121">
        <f t="shared" si="7"/>
        <v>0</v>
      </c>
      <c r="O48" s="53"/>
      <c r="P48" s="39"/>
    </row>
    <row r="49" spans="1:48" x14ac:dyDescent="0.25">
      <c r="A49" s="38"/>
      <c r="B49" s="47" t="s">
        <v>247</v>
      </c>
      <c r="C49" s="57">
        <f>C47*(100%-$E$15)</f>
        <v>0</v>
      </c>
      <c r="D49" s="57">
        <f>D47*(100%-$E$15)</f>
        <v>0</v>
      </c>
      <c r="E49" s="57">
        <f t="shared" ref="E49:N49" si="8">E47*(100%-$E$15)</f>
        <v>0</v>
      </c>
      <c r="F49" s="57">
        <f t="shared" si="8"/>
        <v>0</v>
      </c>
      <c r="G49" s="57">
        <f t="shared" si="8"/>
        <v>0</v>
      </c>
      <c r="H49" s="57">
        <f t="shared" si="8"/>
        <v>0</v>
      </c>
      <c r="I49" s="57">
        <f t="shared" si="8"/>
        <v>0</v>
      </c>
      <c r="J49" s="57">
        <f t="shared" si="8"/>
        <v>0</v>
      </c>
      <c r="K49" s="57">
        <f t="shared" si="8"/>
        <v>0</v>
      </c>
      <c r="L49" s="57">
        <f t="shared" si="8"/>
        <v>0</v>
      </c>
      <c r="M49" s="57">
        <f t="shared" si="8"/>
        <v>0</v>
      </c>
      <c r="N49" s="57">
        <f t="shared" si="8"/>
        <v>0</v>
      </c>
      <c r="O49" s="169">
        <f>SUM(C49:N49)</f>
        <v>0</v>
      </c>
      <c r="P49" s="39"/>
    </row>
    <row r="50" spans="1:48" x14ac:dyDescent="0.25">
      <c r="A50" s="38"/>
      <c r="B50" s="48" t="s">
        <v>162</v>
      </c>
      <c r="C50" s="57">
        <f>IF((C48-C49)&lt;$E$17,((C49-C48)+$E$17),0)+IF(E17&gt;D17,E17-D17,0)</f>
        <v>0</v>
      </c>
      <c r="D50" s="57">
        <f>IF((D48-D49)&lt;$E$17,((D49-D48)+$E$17),0)</f>
        <v>0</v>
      </c>
      <c r="E50" s="57">
        <f t="shared" ref="E50:N50" si="9">IF((E48-E49)&lt;$E$17,((E49-E48)+$E$17),0)</f>
        <v>0</v>
      </c>
      <c r="F50" s="57">
        <f t="shared" si="9"/>
        <v>0</v>
      </c>
      <c r="G50" s="57">
        <f t="shared" si="9"/>
        <v>0</v>
      </c>
      <c r="H50" s="57">
        <f t="shared" si="9"/>
        <v>0</v>
      </c>
      <c r="I50" s="57">
        <f t="shared" si="9"/>
        <v>0</v>
      </c>
      <c r="J50" s="57">
        <f t="shared" si="9"/>
        <v>0</v>
      </c>
      <c r="K50" s="57">
        <f t="shared" si="9"/>
        <v>0</v>
      </c>
      <c r="L50" s="57">
        <f t="shared" si="9"/>
        <v>0</v>
      </c>
      <c r="M50" s="57">
        <f t="shared" si="9"/>
        <v>0</v>
      </c>
      <c r="N50" s="57">
        <f t="shared" si="9"/>
        <v>0</v>
      </c>
      <c r="O50" s="53">
        <f>SUM(C50:N50)</f>
        <v>0</v>
      </c>
      <c r="P50" s="39"/>
    </row>
    <row r="51" spans="1:48" x14ac:dyDescent="0.25">
      <c r="A51" s="38"/>
      <c r="B51" s="47" t="s">
        <v>22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7">
        <f>N48-N49+N50</f>
        <v>0</v>
      </c>
      <c r="O51" s="53">
        <f>N51</f>
        <v>0</v>
      </c>
      <c r="P51" s="39"/>
    </row>
    <row r="52" spans="1:48" x14ac:dyDescent="0.25">
      <c r="A52" s="38"/>
      <c r="B52" s="49" t="s">
        <v>26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3">
        <f>C48-O51</f>
        <v>0</v>
      </c>
      <c r="P52" s="39"/>
    </row>
    <row r="53" spans="1:48" x14ac:dyDescent="0.25">
      <c r="A53" s="38"/>
      <c r="B53" s="31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403" t="s">
        <v>23</v>
      </c>
      <c r="N53" s="404"/>
      <c r="O53" s="53">
        <f>O47-O50-O52</f>
        <v>0</v>
      </c>
      <c r="P53" s="39"/>
    </row>
    <row r="54" spans="1:48" s="29" customFormat="1" ht="15" customHeight="1" x14ac:dyDescent="0.25">
      <c r="A54" s="38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9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48" ht="19.5" customHeight="1" x14ac:dyDescent="0.25">
      <c r="A55" s="38"/>
      <c r="B55" s="45" t="s">
        <v>148</v>
      </c>
      <c r="C55" s="46" t="s">
        <v>149</v>
      </c>
      <c r="D55" s="46" t="s">
        <v>150</v>
      </c>
      <c r="E55" s="46" t="s">
        <v>151</v>
      </c>
      <c r="F55" s="46" t="s">
        <v>152</v>
      </c>
      <c r="G55" s="46" t="s">
        <v>153</v>
      </c>
      <c r="H55" s="46" t="s">
        <v>154</v>
      </c>
      <c r="I55" s="46" t="s">
        <v>155</v>
      </c>
      <c r="J55" s="46" t="s">
        <v>156</v>
      </c>
      <c r="K55" s="46" t="s">
        <v>157</v>
      </c>
      <c r="L55" s="46" t="s">
        <v>158</v>
      </c>
      <c r="M55" s="46" t="s">
        <v>159</v>
      </c>
      <c r="N55" s="46" t="s">
        <v>160</v>
      </c>
      <c r="O55" s="50" t="s">
        <v>20</v>
      </c>
      <c r="P55" s="39"/>
    </row>
    <row r="56" spans="1:48" x14ac:dyDescent="0.25">
      <c r="A56" s="38"/>
      <c r="B56" s="293" t="s">
        <v>297</v>
      </c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53">
        <f>SUM(C56:N56)</f>
        <v>0</v>
      </c>
      <c r="P56" s="39"/>
    </row>
    <row r="57" spans="1:48" x14ac:dyDescent="0.25">
      <c r="A57" s="38"/>
      <c r="B57" s="293" t="s">
        <v>298</v>
      </c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53">
        <f t="shared" ref="O57:O64" si="10">SUM(C57:N57)</f>
        <v>0</v>
      </c>
      <c r="P57" s="39"/>
    </row>
    <row r="58" spans="1:48" x14ac:dyDescent="0.25">
      <c r="A58" s="38"/>
      <c r="B58" s="293" t="s">
        <v>299</v>
      </c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53">
        <f t="shared" si="10"/>
        <v>0</v>
      </c>
      <c r="P58" s="39"/>
    </row>
    <row r="59" spans="1:48" x14ac:dyDescent="0.25">
      <c r="A59" s="38"/>
      <c r="B59" s="293" t="s">
        <v>300</v>
      </c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53">
        <f t="shared" si="10"/>
        <v>0</v>
      </c>
      <c r="P59" s="39"/>
    </row>
    <row r="60" spans="1:48" x14ac:dyDescent="0.25">
      <c r="A60" s="38"/>
      <c r="B60" s="293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53">
        <f t="shared" si="10"/>
        <v>0</v>
      </c>
      <c r="P60" s="39"/>
    </row>
    <row r="61" spans="1:48" x14ac:dyDescent="0.25">
      <c r="A61" s="38"/>
      <c r="B61" s="293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53">
        <f t="shared" si="10"/>
        <v>0</v>
      </c>
      <c r="P61" s="39"/>
    </row>
    <row r="62" spans="1:48" x14ac:dyDescent="0.25">
      <c r="A62" s="38"/>
      <c r="B62" s="293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53">
        <f t="shared" si="10"/>
        <v>0</v>
      </c>
      <c r="P62" s="39"/>
    </row>
    <row r="63" spans="1:48" x14ac:dyDescent="0.25">
      <c r="A63" s="38"/>
      <c r="B63" s="293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53">
        <f t="shared" si="10"/>
        <v>0</v>
      </c>
      <c r="P63" s="39"/>
    </row>
    <row r="64" spans="1:48" x14ac:dyDescent="0.25">
      <c r="A64" s="38"/>
      <c r="B64" s="293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53">
        <f t="shared" si="10"/>
        <v>0</v>
      </c>
      <c r="P64" s="39"/>
    </row>
    <row r="65" spans="1:48" s="28" customFormat="1" ht="18.75" customHeight="1" x14ac:dyDescent="0.25">
      <c r="A65" s="40"/>
      <c r="B65" s="51" t="s">
        <v>24</v>
      </c>
      <c r="C65" s="55">
        <f>SUM(C56:C63)</f>
        <v>0</v>
      </c>
      <c r="D65" s="55">
        <f t="shared" ref="D65:N65" si="11">SUM(D56:D63)</f>
        <v>0</v>
      </c>
      <c r="E65" s="55">
        <f t="shared" si="11"/>
        <v>0</v>
      </c>
      <c r="F65" s="55">
        <f t="shared" si="11"/>
        <v>0</v>
      </c>
      <c r="G65" s="55">
        <f t="shared" si="11"/>
        <v>0</v>
      </c>
      <c r="H65" s="55">
        <f t="shared" si="11"/>
        <v>0</v>
      </c>
      <c r="I65" s="55">
        <f t="shared" si="11"/>
        <v>0</v>
      </c>
      <c r="J65" s="55">
        <f t="shared" si="11"/>
        <v>0</v>
      </c>
      <c r="K65" s="55">
        <f t="shared" si="11"/>
        <v>0</v>
      </c>
      <c r="L65" s="55">
        <f t="shared" si="11"/>
        <v>0</v>
      </c>
      <c r="M65" s="55">
        <f t="shared" si="11"/>
        <v>0</v>
      </c>
      <c r="N65" s="55">
        <f t="shared" si="11"/>
        <v>0</v>
      </c>
      <c r="O65" s="55">
        <f>SUM(O56:O64)</f>
        <v>0</v>
      </c>
      <c r="P65" s="41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</row>
    <row r="66" spans="1:48" x14ac:dyDescent="0.25">
      <c r="A66" s="38"/>
      <c r="B66" s="47" t="s">
        <v>21</v>
      </c>
      <c r="C66" s="57">
        <f>N51</f>
        <v>0</v>
      </c>
      <c r="D66" s="121">
        <f>IF(C68=0,C66-C67,IF(C66-C67&gt;$F$17,C66-C67,$F$17))</f>
        <v>0</v>
      </c>
      <c r="E66" s="121">
        <f t="shared" ref="E66:N66" si="12">IF(D68=0,D66-D67,IF(D66-D67&gt;$F$17,D66-D67,$F$17))</f>
        <v>0</v>
      </c>
      <c r="F66" s="121">
        <f t="shared" si="12"/>
        <v>0</v>
      </c>
      <c r="G66" s="121">
        <f t="shared" si="12"/>
        <v>0</v>
      </c>
      <c r="H66" s="121">
        <f t="shared" si="12"/>
        <v>0</v>
      </c>
      <c r="I66" s="121">
        <f t="shared" si="12"/>
        <v>0</v>
      </c>
      <c r="J66" s="121">
        <f t="shared" si="12"/>
        <v>0</v>
      </c>
      <c r="K66" s="121">
        <f t="shared" si="12"/>
        <v>0</v>
      </c>
      <c r="L66" s="121">
        <f t="shared" si="12"/>
        <v>0</v>
      </c>
      <c r="M66" s="121">
        <f t="shared" si="12"/>
        <v>0</v>
      </c>
      <c r="N66" s="121">
        <f t="shared" si="12"/>
        <v>0</v>
      </c>
      <c r="O66" s="53"/>
      <c r="P66" s="39"/>
    </row>
    <row r="67" spans="1:48" x14ac:dyDescent="0.25">
      <c r="A67" s="38"/>
      <c r="B67" s="47" t="s">
        <v>247</v>
      </c>
      <c r="C67" s="57">
        <f>C65*(100%-$F$15)</f>
        <v>0</v>
      </c>
      <c r="D67" s="57">
        <f t="shared" ref="D67:N67" si="13">D65*(100%-$F$15)</f>
        <v>0</v>
      </c>
      <c r="E67" s="57">
        <f t="shared" si="13"/>
        <v>0</v>
      </c>
      <c r="F67" s="57">
        <f t="shared" si="13"/>
        <v>0</v>
      </c>
      <c r="G67" s="57">
        <f t="shared" si="13"/>
        <v>0</v>
      </c>
      <c r="H67" s="57">
        <f t="shared" si="13"/>
        <v>0</v>
      </c>
      <c r="I67" s="57">
        <f t="shared" si="13"/>
        <v>0</v>
      </c>
      <c r="J67" s="57">
        <f t="shared" si="13"/>
        <v>0</v>
      </c>
      <c r="K67" s="57">
        <f t="shared" si="13"/>
        <v>0</v>
      </c>
      <c r="L67" s="57">
        <f t="shared" si="13"/>
        <v>0</v>
      </c>
      <c r="M67" s="57">
        <f t="shared" si="13"/>
        <v>0</v>
      </c>
      <c r="N67" s="57">
        <f t="shared" si="13"/>
        <v>0</v>
      </c>
      <c r="O67" s="53"/>
      <c r="P67" s="39"/>
    </row>
    <row r="68" spans="1:48" x14ac:dyDescent="0.25">
      <c r="A68" s="38"/>
      <c r="B68" s="48" t="s">
        <v>162</v>
      </c>
      <c r="C68" s="57">
        <f>IF((C66-C67)&lt;$F$17,((C67-C66)+$F$17),0)+IF(E35&gt;D35,E35-D35,0)</f>
        <v>0</v>
      </c>
      <c r="D68" s="57">
        <f>IF((D66-D67)&lt;$F$17,((D67-D66)+$F$17),0)</f>
        <v>0</v>
      </c>
      <c r="E68" s="57">
        <f t="shared" ref="E68:N68" si="14">IF((E66-E67)&lt;$F$17,((E67-E66)+$F$17),0)</f>
        <v>0</v>
      </c>
      <c r="F68" s="57">
        <f t="shared" si="14"/>
        <v>0</v>
      </c>
      <c r="G68" s="57">
        <f t="shared" si="14"/>
        <v>0</v>
      </c>
      <c r="H68" s="57">
        <f t="shared" si="14"/>
        <v>0</v>
      </c>
      <c r="I68" s="57">
        <f t="shared" si="14"/>
        <v>0</v>
      </c>
      <c r="J68" s="57">
        <f t="shared" si="14"/>
        <v>0</v>
      </c>
      <c r="K68" s="57">
        <f t="shared" si="14"/>
        <v>0</v>
      </c>
      <c r="L68" s="57">
        <f t="shared" si="14"/>
        <v>0</v>
      </c>
      <c r="M68" s="57">
        <f t="shared" si="14"/>
        <v>0</v>
      </c>
      <c r="N68" s="57">
        <f t="shared" si="14"/>
        <v>0</v>
      </c>
      <c r="O68" s="53">
        <f>SUM(C68:N68)</f>
        <v>0</v>
      </c>
      <c r="P68" s="39"/>
    </row>
    <row r="69" spans="1:48" x14ac:dyDescent="0.25">
      <c r="A69" s="38"/>
      <c r="B69" s="47" t="s">
        <v>22</v>
      </c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7">
        <f>N66-N67+N68</f>
        <v>0</v>
      </c>
      <c r="O69" s="53">
        <f>N69</f>
        <v>0</v>
      </c>
      <c r="P69" s="39"/>
    </row>
    <row r="70" spans="1:48" x14ac:dyDescent="0.25">
      <c r="A70" s="38"/>
      <c r="B70" s="49" t="s">
        <v>26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3">
        <f>C66-O69</f>
        <v>0</v>
      </c>
      <c r="P70" s="39"/>
    </row>
    <row r="71" spans="1:48" x14ac:dyDescent="0.25">
      <c r="A71" s="38"/>
      <c r="B71" s="31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403" t="s">
        <v>23</v>
      </c>
      <c r="N71" s="404"/>
      <c r="O71" s="53">
        <f>O65-O68-O70</f>
        <v>0</v>
      </c>
      <c r="P71" s="39"/>
    </row>
    <row r="72" spans="1:48" x14ac:dyDescent="0.25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4"/>
    </row>
    <row r="73" spans="1:48" x14ac:dyDescent="0.25">
      <c r="A73" s="26"/>
      <c r="P73" s="34"/>
    </row>
    <row r="74" spans="1:48" x14ac:dyDescent="0.25">
      <c r="A74" s="26"/>
      <c r="P74" s="34"/>
    </row>
    <row r="75" spans="1:48" x14ac:dyDescent="0.25">
      <c r="A75" s="26"/>
      <c r="P75" s="34"/>
    </row>
    <row r="76" spans="1:48" x14ac:dyDescent="0.25">
      <c r="A76" s="26"/>
      <c r="P76" s="34"/>
    </row>
    <row r="77" spans="1:48" x14ac:dyDescent="0.25">
      <c r="A77" s="26"/>
      <c r="P77" s="34"/>
    </row>
    <row r="78" spans="1:48" x14ac:dyDescent="0.25">
      <c r="A78" s="26"/>
      <c r="P78" s="34"/>
    </row>
    <row r="79" spans="1:48" x14ac:dyDescent="0.25">
      <c r="A79" s="26"/>
      <c r="P79" s="34"/>
    </row>
    <row r="80" spans="1:48" x14ac:dyDescent="0.25">
      <c r="A80" s="26"/>
      <c r="P80" s="34"/>
    </row>
    <row r="81" spans="1:16" x14ac:dyDescent="0.25">
      <c r="A81" s="26"/>
      <c r="P81" s="34"/>
    </row>
    <row r="82" spans="1:16" x14ac:dyDescent="0.25">
      <c r="A82" s="26"/>
      <c r="P82" s="34"/>
    </row>
    <row r="83" spans="1:16" x14ac:dyDescent="0.25">
      <c r="A83" s="26"/>
      <c r="P83" s="34"/>
    </row>
    <row r="84" spans="1:16" x14ac:dyDescent="0.25">
      <c r="A84" s="26"/>
      <c r="P84" s="34"/>
    </row>
    <row r="85" spans="1:16" x14ac:dyDescent="0.25">
      <c r="A85" s="26"/>
      <c r="P85" s="34"/>
    </row>
    <row r="86" spans="1:16" x14ac:dyDescent="0.25">
      <c r="A86" s="26"/>
      <c r="P86" s="34"/>
    </row>
    <row r="87" spans="1:16" x14ac:dyDescent="0.25">
      <c r="A87" s="26"/>
      <c r="P87" s="34"/>
    </row>
    <row r="88" spans="1:16" x14ac:dyDescent="0.25">
      <c r="A88" s="26"/>
      <c r="P88" s="34"/>
    </row>
    <row r="89" spans="1:16" x14ac:dyDescent="0.25">
      <c r="A89" s="26"/>
      <c r="P89" s="34"/>
    </row>
    <row r="90" spans="1:16" x14ac:dyDescent="0.25">
      <c r="A90" s="26"/>
      <c r="P90" s="34"/>
    </row>
    <row r="91" spans="1:16" x14ac:dyDescent="0.25">
      <c r="A91" s="26"/>
      <c r="P91" s="34"/>
    </row>
    <row r="92" spans="1:16" x14ac:dyDescent="0.25">
      <c r="A92" s="26"/>
      <c r="P92" s="34"/>
    </row>
    <row r="93" spans="1:16" x14ac:dyDescent="0.25">
      <c r="A93" s="26"/>
      <c r="P93" s="34"/>
    </row>
    <row r="94" spans="1:16" x14ac:dyDescent="0.25">
      <c r="A94" s="26"/>
      <c r="P94" s="34"/>
    </row>
    <row r="95" spans="1:16" x14ac:dyDescent="0.25">
      <c r="A95" s="26"/>
      <c r="P95" s="34"/>
    </row>
    <row r="96" spans="1:16" x14ac:dyDescent="0.25">
      <c r="A96" s="26"/>
      <c r="P96" s="34"/>
    </row>
    <row r="97" spans="1:16" x14ac:dyDescent="0.25">
      <c r="A97" s="26"/>
      <c r="P97" s="34"/>
    </row>
    <row r="98" spans="1:16" x14ac:dyDescent="0.25">
      <c r="A98" s="26"/>
      <c r="P98" s="34"/>
    </row>
    <row r="99" spans="1:16" x14ac:dyDescent="0.25">
      <c r="A99" s="26"/>
      <c r="P99" s="34"/>
    </row>
    <row r="100" spans="1:16" x14ac:dyDescent="0.25">
      <c r="A100" s="26"/>
      <c r="P100" s="34"/>
    </row>
    <row r="101" spans="1:16" x14ac:dyDescent="0.25">
      <c r="A101" s="26"/>
      <c r="P101" s="34"/>
    </row>
    <row r="102" spans="1:16" x14ac:dyDescent="0.25">
      <c r="A102" s="26"/>
      <c r="P102" s="34"/>
    </row>
    <row r="103" spans="1:16" x14ac:dyDescent="0.25">
      <c r="A103" s="26"/>
      <c r="P103" s="34"/>
    </row>
    <row r="104" spans="1:16" x14ac:dyDescent="0.25">
      <c r="A104" s="26"/>
      <c r="P104" s="34"/>
    </row>
    <row r="105" spans="1:16" x14ac:dyDescent="0.25">
      <c r="A105" s="26"/>
      <c r="P105" s="34"/>
    </row>
    <row r="106" spans="1:16" x14ac:dyDescent="0.25">
      <c r="A106" s="26"/>
      <c r="P106" s="34"/>
    </row>
    <row r="107" spans="1:16" x14ac:dyDescent="0.25">
      <c r="A107" s="26"/>
      <c r="P107" s="34"/>
    </row>
    <row r="108" spans="1:16" x14ac:dyDescent="0.25">
      <c r="A108" s="26"/>
      <c r="P108" s="34"/>
    </row>
    <row r="109" spans="1:16" x14ac:dyDescent="0.25">
      <c r="A109" s="26"/>
      <c r="P109" s="34"/>
    </row>
    <row r="110" spans="1:16" x14ac:dyDescent="0.25">
      <c r="A110" s="26"/>
      <c r="P110" s="34"/>
    </row>
    <row r="111" spans="1:16" x14ac:dyDescent="0.25">
      <c r="A111" s="26"/>
      <c r="P111" s="34"/>
    </row>
    <row r="112" spans="1:16" x14ac:dyDescent="0.25">
      <c r="A112" s="26"/>
      <c r="P112" s="34"/>
    </row>
    <row r="113" spans="1:16" x14ac:dyDescent="0.25">
      <c r="A113" s="26"/>
      <c r="P113" s="34"/>
    </row>
    <row r="114" spans="1:16" x14ac:dyDescent="0.25">
      <c r="A114" s="26"/>
      <c r="P114" s="34"/>
    </row>
    <row r="115" spans="1:16" x14ac:dyDescent="0.25">
      <c r="A115" s="26"/>
      <c r="P115" s="34"/>
    </row>
    <row r="116" spans="1:16" x14ac:dyDescent="0.25">
      <c r="A116" s="26"/>
      <c r="P116" s="34"/>
    </row>
    <row r="117" spans="1:16" x14ac:dyDescent="0.25">
      <c r="A117" s="26"/>
      <c r="P117" s="34"/>
    </row>
    <row r="118" spans="1:16" x14ac:dyDescent="0.25">
      <c r="A118" s="26"/>
      <c r="P118" s="34"/>
    </row>
    <row r="119" spans="1:16" x14ac:dyDescent="0.25">
      <c r="A119" s="26"/>
      <c r="P119" s="34"/>
    </row>
    <row r="120" spans="1:16" x14ac:dyDescent="0.25">
      <c r="A120" s="26"/>
      <c r="P120" s="34"/>
    </row>
    <row r="121" spans="1:16" x14ac:dyDescent="0.25">
      <c r="A121" s="26"/>
      <c r="P121" s="34"/>
    </row>
    <row r="122" spans="1:16" x14ac:dyDescent="0.25">
      <c r="A122" s="26"/>
      <c r="P122" s="34"/>
    </row>
    <row r="123" spans="1:16" x14ac:dyDescent="0.25">
      <c r="A123" s="26"/>
      <c r="P123" s="34"/>
    </row>
    <row r="124" spans="1:16" x14ac:dyDescent="0.25">
      <c r="A124" s="26"/>
      <c r="P124" s="34"/>
    </row>
    <row r="125" spans="1:16" x14ac:dyDescent="0.25">
      <c r="A125" s="26"/>
      <c r="P125" s="34"/>
    </row>
    <row r="126" spans="1:16" x14ac:dyDescent="0.25">
      <c r="A126" s="26"/>
      <c r="P126" s="34"/>
    </row>
    <row r="127" spans="1:16" x14ac:dyDescent="0.25">
      <c r="A127" s="26"/>
      <c r="P127" s="34"/>
    </row>
    <row r="128" spans="1:16" x14ac:dyDescent="0.25">
      <c r="A128" s="26"/>
      <c r="P128" s="34"/>
    </row>
    <row r="129" spans="1:16" x14ac:dyDescent="0.25">
      <c r="A129" s="26"/>
      <c r="P129" s="34"/>
    </row>
    <row r="130" spans="1:16" x14ac:dyDescent="0.25">
      <c r="A130" s="26"/>
      <c r="P130" s="34"/>
    </row>
    <row r="131" spans="1:16" x14ac:dyDescent="0.25">
      <c r="A131" s="26"/>
      <c r="P131" s="34"/>
    </row>
    <row r="132" spans="1:16" x14ac:dyDescent="0.25">
      <c r="A132" s="26"/>
      <c r="P132" s="34"/>
    </row>
    <row r="133" spans="1:16" x14ac:dyDescent="0.25">
      <c r="A133" s="26"/>
      <c r="P133" s="34"/>
    </row>
    <row r="134" spans="1:16" x14ac:dyDescent="0.25">
      <c r="A134" s="26"/>
      <c r="P134" s="34"/>
    </row>
    <row r="135" spans="1:16" x14ac:dyDescent="0.25">
      <c r="A135" s="26"/>
      <c r="P135" s="34"/>
    </row>
    <row r="136" spans="1:16" x14ac:dyDescent="0.25">
      <c r="A136" s="26"/>
      <c r="P136" s="34"/>
    </row>
    <row r="137" spans="1:16" x14ac:dyDescent="0.25">
      <c r="A137" s="26"/>
      <c r="P137" s="34"/>
    </row>
    <row r="138" spans="1:16" x14ac:dyDescent="0.25">
      <c r="A138" s="26"/>
      <c r="P138" s="34"/>
    </row>
    <row r="139" spans="1:16" x14ac:dyDescent="0.25">
      <c r="A139" s="26"/>
      <c r="P139" s="34"/>
    </row>
    <row r="140" spans="1:16" x14ac:dyDescent="0.25">
      <c r="A140" s="26"/>
      <c r="P140" s="34"/>
    </row>
    <row r="141" spans="1:16" x14ac:dyDescent="0.25">
      <c r="A141" s="26"/>
      <c r="P141" s="34"/>
    </row>
    <row r="142" spans="1:16" x14ac:dyDescent="0.25">
      <c r="A142" s="26"/>
      <c r="P142" s="34"/>
    </row>
    <row r="143" spans="1:16" x14ac:dyDescent="0.25">
      <c r="A143" s="26"/>
      <c r="P143" s="34"/>
    </row>
    <row r="144" spans="1:16" x14ac:dyDescent="0.25">
      <c r="A144" s="26"/>
      <c r="P144" s="34"/>
    </row>
    <row r="145" spans="1:16" x14ac:dyDescent="0.25">
      <c r="A145" s="26"/>
      <c r="P145" s="34"/>
    </row>
    <row r="146" spans="1:16" x14ac:dyDescent="0.25">
      <c r="A146" s="26"/>
      <c r="P146" s="34"/>
    </row>
    <row r="147" spans="1:16" x14ac:dyDescent="0.25">
      <c r="A147" s="26"/>
      <c r="P147" s="34"/>
    </row>
    <row r="148" spans="1:16" x14ac:dyDescent="0.25">
      <c r="A148" s="26"/>
      <c r="P148" s="34"/>
    </row>
    <row r="149" spans="1:16" x14ac:dyDescent="0.25">
      <c r="A149" s="26"/>
      <c r="P149" s="34"/>
    </row>
    <row r="150" spans="1:16" x14ac:dyDescent="0.25">
      <c r="A150" s="26"/>
      <c r="P150" s="34"/>
    </row>
    <row r="151" spans="1:16" x14ac:dyDescent="0.25">
      <c r="A151" s="26"/>
      <c r="P151" s="34"/>
    </row>
    <row r="152" spans="1:16" x14ac:dyDescent="0.25">
      <c r="A152" s="26"/>
      <c r="P152" s="34"/>
    </row>
    <row r="153" spans="1:16" x14ac:dyDescent="0.25">
      <c r="A153" s="26"/>
      <c r="P153" s="34"/>
    </row>
    <row r="154" spans="1:16" x14ac:dyDescent="0.25">
      <c r="A154" s="26"/>
      <c r="P154" s="34"/>
    </row>
    <row r="155" spans="1:16" x14ac:dyDescent="0.25">
      <c r="A155" s="26"/>
      <c r="P155" s="34"/>
    </row>
    <row r="156" spans="1:16" x14ac:dyDescent="0.25">
      <c r="A156" s="26"/>
      <c r="P156" s="34"/>
    </row>
    <row r="157" spans="1:16" x14ac:dyDescent="0.25">
      <c r="A157" s="26"/>
      <c r="P157" s="34"/>
    </row>
    <row r="158" spans="1:16" x14ac:dyDescent="0.25">
      <c r="A158" s="26"/>
      <c r="P158" s="34"/>
    </row>
    <row r="159" spans="1:16" x14ac:dyDescent="0.25">
      <c r="A159" s="26"/>
      <c r="P159" s="34"/>
    </row>
    <row r="160" spans="1:16" x14ac:dyDescent="0.25">
      <c r="A160" s="26"/>
      <c r="P160" s="34"/>
    </row>
    <row r="161" spans="1:16" x14ac:dyDescent="0.25">
      <c r="A161" s="26"/>
      <c r="P161" s="34"/>
    </row>
    <row r="162" spans="1:16" x14ac:dyDescent="0.25">
      <c r="A162" s="26"/>
      <c r="P162" s="34"/>
    </row>
    <row r="163" spans="1:16" x14ac:dyDescent="0.25">
      <c r="A163" s="26"/>
      <c r="P163" s="34"/>
    </row>
    <row r="164" spans="1:16" x14ac:dyDescent="0.25">
      <c r="A164" s="26"/>
      <c r="P164" s="34"/>
    </row>
    <row r="165" spans="1:16" x14ac:dyDescent="0.25">
      <c r="A165" s="26"/>
      <c r="P165" s="34"/>
    </row>
    <row r="166" spans="1:16" x14ac:dyDescent="0.25">
      <c r="A166" s="26"/>
      <c r="P166" s="34"/>
    </row>
    <row r="167" spans="1:16" x14ac:dyDescent="0.25">
      <c r="A167" s="26"/>
      <c r="P167" s="34"/>
    </row>
    <row r="168" spans="1:16" x14ac:dyDescent="0.25">
      <c r="A168" s="26"/>
      <c r="P168" s="34"/>
    </row>
    <row r="169" spans="1:16" x14ac:dyDescent="0.25">
      <c r="A169" s="26"/>
      <c r="P169" s="34"/>
    </row>
    <row r="170" spans="1:16" x14ac:dyDescent="0.25">
      <c r="A170" s="26"/>
      <c r="P170" s="34"/>
    </row>
    <row r="171" spans="1:16" x14ac:dyDescent="0.25">
      <c r="A171" s="26"/>
      <c r="P171" s="34"/>
    </row>
    <row r="172" spans="1:16" x14ac:dyDescent="0.25">
      <c r="A172" s="26"/>
      <c r="P172" s="34"/>
    </row>
    <row r="173" spans="1:16" x14ac:dyDescent="0.25">
      <c r="A173" s="26"/>
      <c r="P173" s="34"/>
    </row>
    <row r="174" spans="1:16" x14ac:dyDescent="0.25">
      <c r="A174" s="26"/>
      <c r="P174" s="34"/>
    </row>
    <row r="175" spans="1:16" x14ac:dyDescent="0.25">
      <c r="A175" s="26"/>
      <c r="P175" s="34"/>
    </row>
    <row r="176" spans="1:16" x14ac:dyDescent="0.25">
      <c r="A176" s="26"/>
      <c r="P176" s="34"/>
    </row>
    <row r="177" spans="1:16" x14ac:dyDescent="0.25">
      <c r="A177" s="26"/>
      <c r="P177" s="34"/>
    </row>
    <row r="178" spans="1:16" x14ac:dyDescent="0.25">
      <c r="A178" s="26"/>
      <c r="P178" s="34"/>
    </row>
    <row r="179" spans="1:16" x14ac:dyDescent="0.25">
      <c r="A179" s="26"/>
      <c r="P179" s="34"/>
    </row>
    <row r="180" spans="1:16" x14ac:dyDescent="0.25">
      <c r="A180" s="26"/>
      <c r="P180" s="34"/>
    </row>
    <row r="181" spans="1:16" x14ac:dyDescent="0.25">
      <c r="A181" s="26"/>
      <c r="P181" s="34"/>
    </row>
    <row r="182" spans="1:16" x14ac:dyDescent="0.25">
      <c r="A182" s="26"/>
      <c r="P182" s="34"/>
    </row>
    <row r="183" spans="1:16" x14ac:dyDescent="0.25">
      <c r="A183" s="26"/>
      <c r="P183" s="34"/>
    </row>
    <row r="184" spans="1:16" x14ac:dyDescent="0.25">
      <c r="A184" s="26"/>
      <c r="P184" s="34"/>
    </row>
    <row r="185" spans="1:16" x14ac:dyDescent="0.25">
      <c r="A185" s="26"/>
      <c r="P185" s="34"/>
    </row>
    <row r="186" spans="1:16" x14ac:dyDescent="0.25">
      <c r="A186" s="26"/>
      <c r="P186" s="34"/>
    </row>
    <row r="187" spans="1:16" x14ac:dyDescent="0.25">
      <c r="A187" s="26"/>
      <c r="P187" s="34"/>
    </row>
    <row r="188" spans="1:16" x14ac:dyDescent="0.25">
      <c r="A188" s="26"/>
      <c r="P188" s="34"/>
    </row>
    <row r="189" spans="1:16" x14ac:dyDescent="0.25">
      <c r="A189" s="26"/>
      <c r="P189" s="34"/>
    </row>
    <row r="190" spans="1:16" x14ac:dyDescent="0.25">
      <c r="A190" s="26"/>
      <c r="P190" s="34"/>
    </row>
    <row r="191" spans="1:16" x14ac:dyDescent="0.25">
      <c r="A191" s="26"/>
      <c r="P191" s="34"/>
    </row>
    <row r="192" spans="1:16" x14ac:dyDescent="0.25">
      <c r="A192" s="26"/>
      <c r="P192" s="34"/>
    </row>
    <row r="193" spans="1:16" x14ac:dyDescent="0.25">
      <c r="A193" s="26"/>
      <c r="P193" s="34"/>
    </row>
    <row r="194" spans="1:16" x14ac:dyDescent="0.25">
      <c r="A194" s="26"/>
      <c r="P194" s="34"/>
    </row>
    <row r="195" spans="1:16" x14ac:dyDescent="0.25">
      <c r="A195" s="26"/>
      <c r="P195" s="34"/>
    </row>
    <row r="196" spans="1:16" x14ac:dyDescent="0.25">
      <c r="A196" s="26"/>
      <c r="P196" s="34"/>
    </row>
    <row r="197" spans="1:16" x14ac:dyDescent="0.25">
      <c r="A197" s="26"/>
      <c r="P197" s="34"/>
    </row>
    <row r="198" spans="1:16" x14ac:dyDescent="0.25">
      <c r="A198" s="26"/>
      <c r="P198" s="34"/>
    </row>
    <row r="199" spans="1:16" x14ac:dyDescent="0.25">
      <c r="A199" s="26"/>
      <c r="P199" s="34"/>
    </row>
    <row r="200" spans="1:16" x14ac:dyDescent="0.25">
      <c r="A200" s="26"/>
      <c r="P200" s="34"/>
    </row>
    <row r="201" spans="1:16" x14ac:dyDescent="0.25">
      <c r="A201" s="26"/>
      <c r="P201" s="34"/>
    </row>
    <row r="202" spans="1:16" x14ac:dyDescent="0.25">
      <c r="A202" s="26"/>
      <c r="P202" s="34"/>
    </row>
    <row r="203" spans="1:16" x14ac:dyDescent="0.25">
      <c r="A203" s="26"/>
      <c r="P203" s="34"/>
    </row>
    <row r="204" spans="1:16" x14ac:dyDescent="0.25">
      <c r="A204" s="26"/>
      <c r="P204" s="34"/>
    </row>
    <row r="205" spans="1:16" x14ac:dyDescent="0.25">
      <c r="A205" s="26"/>
      <c r="P205" s="34"/>
    </row>
    <row r="206" spans="1:16" x14ac:dyDescent="0.25">
      <c r="A206" s="26"/>
      <c r="P206" s="34"/>
    </row>
    <row r="207" spans="1:16" x14ac:dyDescent="0.25">
      <c r="A207" s="26"/>
      <c r="P207" s="34"/>
    </row>
    <row r="208" spans="1:16" x14ac:dyDescent="0.25">
      <c r="A208" s="26"/>
      <c r="P208" s="34"/>
    </row>
    <row r="209" spans="1:16" x14ac:dyDescent="0.25">
      <c r="A209" s="26"/>
      <c r="P209" s="34"/>
    </row>
    <row r="210" spans="1:16" x14ac:dyDescent="0.25">
      <c r="A210" s="26"/>
      <c r="P210" s="34"/>
    </row>
    <row r="211" spans="1:16" x14ac:dyDescent="0.25">
      <c r="A211" s="26"/>
      <c r="P211" s="34"/>
    </row>
    <row r="212" spans="1:16" x14ac:dyDescent="0.25">
      <c r="A212" s="26"/>
      <c r="P212" s="34"/>
    </row>
    <row r="213" spans="1:16" x14ac:dyDescent="0.25">
      <c r="A213" s="26"/>
      <c r="P213" s="34"/>
    </row>
    <row r="214" spans="1:16" x14ac:dyDescent="0.25">
      <c r="A214" s="26"/>
      <c r="P214" s="34"/>
    </row>
    <row r="215" spans="1:16" x14ac:dyDescent="0.25">
      <c r="A215" s="26"/>
      <c r="P215" s="34"/>
    </row>
    <row r="216" spans="1:16" x14ac:dyDescent="0.25">
      <c r="A216" s="26"/>
      <c r="P216" s="34"/>
    </row>
    <row r="217" spans="1:16" x14ac:dyDescent="0.25">
      <c r="A217" s="26"/>
      <c r="P217" s="34"/>
    </row>
    <row r="218" spans="1:16" x14ac:dyDescent="0.25">
      <c r="A218" s="26"/>
      <c r="P218" s="34"/>
    </row>
    <row r="219" spans="1:16" x14ac:dyDescent="0.25">
      <c r="A219" s="26"/>
      <c r="P219" s="34"/>
    </row>
    <row r="220" spans="1:16" x14ac:dyDescent="0.25">
      <c r="A220" s="26"/>
      <c r="P220" s="34"/>
    </row>
    <row r="221" spans="1:16" x14ac:dyDescent="0.25">
      <c r="A221" s="26"/>
      <c r="P221" s="34"/>
    </row>
    <row r="222" spans="1:16" x14ac:dyDescent="0.25">
      <c r="A222" s="26"/>
      <c r="P222" s="34"/>
    </row>
    <row r="223" spans="1:16" x14ac:dyDescent="0.25">
      <c r="A223" s="26"/>
      <c r="P223" s="34"/>
    </row>
    <row r="224" spans="1:16" x14ac:dyDescent="0.25">
      <c r="A224" s="26"/>
      <c r="P224" s="34"/>
    </row>
    <row r="225" spans="1:16" x14ac:dyDescent="0.25">
      <c r="A225" s="26"/>
      <c r="P225" s="34"/>
    </row>
    <row r="226" spans="1:16" x14ac:dyDescent="0.25">
      <c r="A226" s="26"/>
      <c r="P226" s="34"/>
    </row>
    <row r="227" spans="1:16" x14ac:dyDescent="0.25">
      <c r="A227" s="26"/>
      <c r="P227" s="34"/>
    </row>
    <row r="228" spans="1:16" x14ac:dyDescent="0.25">
      <c r="A228" s="26"/>
      <c r="P228" s="34"/>
    </row>
    <row r="229" spans="1:16" x14ac:dyDescent="0.25">
      <c r="A229" s="26"/>
      <c r="P229" s="34"/>
    </row>
    <row r="230" spans="1:16" x14ac:dyDescent="0.25">
      <c r="A230" s="26"/>
      <c r="P230" s="34"/>
    </row>
    <row r="231" spans="1:16" x14ac:dyDescent="0.25">
      <c r="A231" s="26"/>
      <c r="P231" s="34"/>
    </row>
    <row r="232" spans="1:16" x14ac:dyDescent="0.25">
      <c r="A232" s="26"/>
      <c r="P232" s="34"/>
    </row>
    <row r="233" spans="1:16" x14ac:dyDescent="0.25">
      <c r="A233" s="26"/>
      <c r="P233" s="34"/>
    </row>
    <row r="234" spans="1:16" x14ac:dyDescent="0.25">
      <c r="P234" s="34"/>
    </row>
    <row r="235" spans="1:16" x14ac:dyDescent="0.25">
      <c r="P235" s="34"/>
    </row>
    <row r="236" spans="1:16" x14ac:dyDescent="0.25">
      <c r="P236" s="34"/>
    </row>
    <row r="237" spans="1:16" x14ac:dyDescent="0.25">
      <c r="P237" s="34"/>
    </row>
    <row r="238" spans="1:16" x14ac:dyDescent="0.25">
      <c r="P238" s="34"/>
    </row>
    <row r="239" spans="1:16" x14ac:dyDescent="0.25">
      <c r="P239" s="34"/>
    </row>
    <row r="240" spans="1:16" x14ac:dyDescent="0.25">
      <c r="P240" s="34"/>
    </row>
    <row r="241" spans="16:16" x14ac:dyDescent="0.25">
      <c r="P241" s="34"/>
    </row>
    <row r="242" spans="16:16" x14ac:dyDescent="0.25">
      <c r="P242" s="34"/>
    </row>
    <row r="243" spans="16:16" x14ac:dyDescent="0.25">
      <c r="P243" s="34"/>
    </row>
    <row r="244" spans="16:16" x14ac:dyDescent="0.25">
      <c r="P244" s="34"/>
    </row>
    <row r="245" spans="16:16" x14ac:dyDescent="0.25">
      <c r="P245" s="34"/>
    </row>
    <row r="246" spans="16:16" x14ac:dyDescent="0.25">
      <c r="P246" s="34"/>
    </row>
    <row r="247" spans="16:16" x14ac:dyDescent="0.25">
      <c r="P247" s="34"/>
    </row>
    <row r="248" spans="16:16" x14ac:dyDescent="0.25">
      <c r="P248" s="34"/>
    </row>
    <row r="249" spans="16:16" x14ac:dyDescent="0.25">
      <c r="P249" s="34"/>
    </row>
    <row r="250" spans="16:16" x14ac:dyDescent="0.25">
      <c r="P250" s="34"/>
    </row>
    <row r="251" spans="16:16" x14ac:dyDescent="0.25">
      <c r="P251" s="34"/>
    </row>
    <row r="252" spans="16:16" x14ac:dyDescent="0.25">
      <c r="P252" s="34"/>
    </row>
    <row r="253" spans="16:16" x14ac:dyDescent="0.25">
      <c r="P253" s="34"/>
    </row>
    <row r="254" spans="16:16" x14ac:dyDescent="0.25">
      <c r="P254" s="34"/>
    </row>
    <row r="255" spans="16:16" x14ac:dyDescent="0.25">
      <c r="P255" s="34"/>
    </row>
    <row r="256" spans="16:16" x14ac:dyDescent="0.25">
      <c r="P256" s="34"/>
    </row>
    <row r="257" spans="16:16" x14ac:dyDescent="0.25">
      <c r="P257" s="34"/>
    </row>
    <row r="258" spans="16:16" x14ac:dyDescent="0.25">
      <c r="P258" s="34"/>
    </row>
    <row r="259" spans="16:16" x14ac:dyDescent="0.25">
      <c r="P259" s="34"/>
    </row>
    <row r="260" spans="16:16" x14ac:dyDescent="0.25">
      <c r="P260" s="34"/>
    </row>
    <row r="261" spans="16:16" x14ac:dyDescent="0.25">
      <c r="P261" s="34"/>
    </row>
    <row r="262" spans="16:16" x14ac:dyDescent="0.25">
      <c r="P262" s="34"/>
    </row>
    <row r="263" spans="16:16" x14ac:dyDescent="0.25">
      <c r="P263" s="34"/>
    </row>
    <row r="264" spans="16:16" x14ac:dyDescent="0.25">
      <c r="P264" s="34"/>
    </row>
    <row r="265" spans="16:16" x14ac:dyDescent="0.25">
      <c r="P265" s="34"/>
    </row>
    <row r="266" spans="16:16" x14ac:dyDescent="0.25">
      <c r="P266" s="34"/>
    </row>
    <row r="267" spans="16:16" x14ac:dyDescent="0.25">
      <c r="P267" s="34"/>
    </row>
    <row r="268" spans="16:16" x14ac:dyDescent="0.25">
      <c r="P268" s="34"/>
    </row>
    <row r="269" spans="16:16" x14ac:dyDescent="0.25">
      <c r="P269" s="34"/>
    </row>
    <row r="270" spans="16:16" x14ac:dyDescent="0.25">
      <c r="P270" s="34"/>
    </row>
    <row r="271" spans="16:16" x14ac:dyDescent="0.25">
      <c r="P271" s="34"/>
    </row>
    <row r="272" spans="16:16" x14ac:dyDescent="0.25">
      <c r="P272" s="34"/>
    </row>
  </sheetData>
  <sheetProtection algorithmName="SHA-512" hashValue="GlPa1c2DVyhKyu7qUhD2qUljBSSUKrqmoHjTzRYvshb6gIxFpX23uAAxPt6Bw9OzQITFQd4kZHMQ90DxvyH3MQ==" saltValue="96dmcQcn3lSzev68XWPKBg==" spinCount="100000" sheet="1" objects="1" scenarios="1"/>
  <mergeCells count="7">
    <mergeCell ref="M71:N71"/>
    <mergeCell ref="B2:O2"/>
    <mergeCell ref="M35:N35"/>
    <mergeCell ref="B15:C15"/>
    <mergeCell ref="B17:C17"/>
    <mergeCell ref="B16:C16"/>
    <mergeCell ref="M53:N53"/>
  </mergeCells>
  <hyperlinks>
    <hyperlink ref="B12" r:id="rId1"/>
    <hyperlink ref="D12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81"/>
  <sheetViews>
    <sheetView showGridLines="0" topLeftCell="A59" zoomScale="90" zoomScaleNormal="90" workbookViewId="0">
      <selection activeCell="D60" sqref="D60"/>
    </sheetView>
  </sheetViews>
  <sheetFormatPr baseColWidth="10" defaultRowHeight="15" x14ac:dyDescent="0.25"/>
  <cols>
    <col min="1" max="1" width="3.28515625" customWidth="1"/>
    <col min="2" max="2" width="42.42578125" bestFit="1" customWidth="1"/>
    <col min="3" max="3" width="19.5703125" customWidth="1"/>
    <col min="4" max="4" width="11.7109375" customWidth="1"/>
    <col min="5" max="5" width="18" customWidth="1"/>
    <col min="6" max="6" width="11.140625" customWidth="1"/>
    <col min="7" max="7" width="20.28515625" customWidth="1"/>
    <col min="8" max="8" width="15.85546875" customWidth="1"/>
    <col min="9" max="9" width="22.85546875" customWidth="1"/>
    <col min="10" max="10" width="18.5703125" customWidth="1"/>
    <col min="11" max="11" width="3.42578125" customWidth="1"/>
    <col min="13" max="13" width="32.140625" customWidth="1"/>
  </cols>
  <sheetData>
    <row r="1" spans="1:1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26.25" x14ac:dyDescent="0.25">
      <c r="A2" s="38"/>
      <c r="B2" s="365" t="s">
        <v>40</v>
      </c>
      <c r="C2" s="365"/>
      <c r="D2" s="365"/>
      <c r="E2" s="365"/>
      <c r="F2" s="365"/>
      <c r="G2" s="365"/>
      <c r="H2" s="365"/>
      <c r="I2" s="365"/>
      <c r="J2" s="365"/>
      <c r="K2" s="39"/>
    </row>
    <row r="3" spans="1:11" x14ac:dyDescent="0.25">
      <c r="A3" s="38"/>
      <c r="B3" s="31"/>
      <c r="C3" s="31"/>
      <c r="D3" s="31"/>
      <c r="E3" s="31"/>
      <c r="F3" s="31"/>
      <c r="G3" s="31"/>
      <c r="H3" s="31"/>
      <c r="I3" s="31"/>
      <c r="J3" s="31"/>
      <c r="K3" s="39"/>
    </row>
    <row r="4" spans="1:11" x14ac:dyDescent="0.25">
      <c r="A4" s="38"/>
      <c r="B4" s="258" t="s">
        <v>27</v>
      </c>
      <c r="C4" s="259"/>
      <c r="D4" s="259"/>
      <c r="E4" s="259"/>
      <c r="F4" s="260"/>
      <c r="G4" s="31"/>
      <c r="H4" s="31"/>
      <c r="I4" s="31"/>
      <c r="J4" s="31"/>
      <c r="K4" s="39"/>
    </row>
    <row r="5" spans="1:11" x14ac:dyDescent="0.25">
      <c r="A5" s="38"/>
      <c r="B5" s="266" t="s">
        <v>163</v>
      </c>
      <c r="C5" s="262"/>
      <c r="D5" s="262"/>
      <c r="E5" s="262"/>
      <c r="F5" s="263"/>
      <c r="G5" s="31"/>
      <c r="H5" s="31"/>
      <c r="I5" s="31"/>
      <c r="J5" s="31"/>
      <c r="K5" s="39"/>
    </row>
    <row r="6" spans="1:11" x14ac:dyDescent="0.25">
      <c r="A6" s="38"/>
      <c r="B6" s="261" t="s">
        <v>628</v>
      </c>
      <c r="C6" s="262"/>
      <c r="D6" s="262"/>
      <c r="E6" s="262"/>
      <c r="F6" s="263"/>
      <c r="G6" s="31"/>
      <c r="H6" s="31"/>
      <c r="I6" s="31"/>
      <c r="J6" s="31"/>
      <c r="K6" s="39"/>
    </row>
    <row r="7" spans="1:11" x14ac:dyDescent="0.25">
      <c r="A7" s="38"/>
      <c r="B7" s="261" t="s">
        <v>635</v>
      </c>
      <c r="C7" s="262"/>
      <c r="D7" s="262"/>
      <c r="E7" s="262"/>
      <c r="F7" s="263"/>
      <c r="G7" s="31"/>
      <c r="H7" s="31"/>
      <c r="I7" s="31"/>
      <c r="J7" s="31"/>
      <c r="K7" s="39"/>
    </row>
    <row r="8" spans="1:11" x14ac:dyDescent="0.25">
      <c r="A8" s="38"/>
      <c r="B8" s="261" t="s">
        <v>627</v>
      </c>
      <c r="C8" s="262"/>
      <c r="D8" s="262"/>
      <c r="E8" s="262"/>
      <c r="F8" s="263"/>
      <c r="G8" s="31"/>
      <c r="H8" s="31"/>
      <c r="I8" s="31"/>
      <c r="J8" s="31"/>
      <c r="K8" s="39"/>
    </row>
    <row r="9" spans="1:11" x14ac:dyDescent="0.25">
      <c r="A9" s="38"/>
      <c r="B9" s="261" t="s">
        <v>404</v>
      </c>
      <c r="C9" s="262"/>
      <c r="D9" s="262"/>
      <c r="E9" s="262"/>
      <c r="F9" s="263"/>
      <c r="G9" s="31"/>
      <c r="H9" s="31"/>
      <c r="I9" s="31"/>
      <c r="J9" s="31"/>
      <c r="K9" s="39"/>
    </row>
    <row r="10" spans="1:11" x14ac:dyDescent="0.25">
      <c r="A10" s="38"/>
      <c r="B10" s="261" t="s">
        <v>636</v>
      </c>
      <c r="C10" s="262"/>
      <c r="D10" s="262"/>
      <c r="E10" s="262"/>
      <c r="F10" s="263"/>
      <c r="G10" s="31"/>
      <c r="H10" s="31"/>
      <c r="I10" s="31"/>
      <c r="J10" s="31"/>
      <c r="K10" s="39"/>
    </row>
    <row r="11" spans="1:11" x14ac:dyDescent="0.25">
      <c r="A11" s="38"/>
      <c r="B11" s="261" t="s">
        <v>637</v>
      </c>
      <c r="C11" s="262"/>
      <c r="D11" s="262"/>
      <c r="E11" s="262"/>
      <c r="F11" s="263"/>
      <c r="G11" s="31"/>
      <c r="H11" s="31"/>
      <c r="I11" s="31"/>
      <c r="J11" s="31"/>
      <c r="K11" s="39"/>
    </row>
    <row r="12" spans="1:11" x14ac:dyDescent="0.25">
      <c r="A12" s="38"/>
      <c r="B12" s="261" t="s">
        <v>638</v>
      </c>
      <c r="C12" s="262"/>
      <c r="D12" s="262"/>
      <c r="E12" s="262"/>
      <c r="F12" s="263"/>
      <c r="G12" s="31"/>
      <c r="H12" s="31"/>
      <c r="I12" s="31"/>
      <c r="J12" s="31"/>
      <c r="K12" s="39"/>
    </row>
    <row r="13" spans="1:11" x14ac:dyDescent="0.25">
      <c r="A13" s="38"/>
      <c r="B13" s="269" t="s">
        <v>361</v>
      </c>
      <c r="C13" s="262"/>
      <c r="D13" s="262"/>
      <c r="E13" s="262"/>
      <c r="F13" s="263"/>
      <c r="G13" s="31"/>
      <c r="H13" s="31"/>
      <c r="I13" s="31"/>
      <c r="J13" s="31"/>
      <c r="K13" s="39"/>
    </row>
    <row r="14" spans="1:11" x14ac:dyDescent="0.25">
      <c r="A14" s="38"/>
      <c r="B14" s="270" t="s">
        <v>405</v>
      </c>
      <c r="C14" s="271" t="s">
        <v>406</v>
      </c>
      <c r="D14" s="264"/>
      <c r="E14" s="264"/>
      <c r="F14" s="265"/>
      <c r="G14" s="31"/>
      <c r="H14" s="31"/>
      <c r="I14" s="31"/>
      <c r="J14" s="31"/>
      <c r="K14" s="39"/>
    </row>
    <row r="15" spans="1:11" x14ac:dyDescent="0.25">
      <c r="A15" s="38"/>
      <c r="B15" s="31"/>
      <c r="C15" s="31"/>
      <c r="D15" s="31"/>
      <c r="E15" s="31"/>
      <c r="F15" s="31"/>
      <c r="G15" s="31"/>
      <c r="H15" s="31"/>
      <c r="I15" s="31"/>
      <c r="J15" s="31"/>
      <c r="K15" s="39"/>
    </row>
    <row r="16" spans="1:11" ht="29.25" customHeight="1" x14ac:dyDescent="0.25">
      <c r="A16" s="38"/>
      <c r="B16" s="31"/>
      <c r="C16" s="227" t="s">
        <v>146</v>
      </c>
      <c r="D16" s="105" t="s">
        <v>29</v>
      </c>
      <c r="E16" s="227" t="s">
        <v>147</v>
      </c>
      <c r="F16" s="105" t="s">
        <v>29</v>
      </c>
      <c r="G16" s="227" t="s">
        <v>148</v>
      </c>
      <c r="H16" s="105" t="s">
        <v>626</v>
      </c>
      <c r="I16" s="105" t="s">
        <v>214</v>
      </c>
      <c r="J16" s="106" t="s">
        <v>213</v>
      </c>
      <c r="K16" s="39"/>
    </row>
    <row r="17" spans="1:11" ht="15" customHeight="1" x14ac:dyDescent="0.25">
      <c r="A17" s="38"/>
      <c r="B17" s="67" t="s">
        <v>7</v>
      </c>
      <c r="C17" s="312"/>
      <c r="D17" s="313"/>
      <c r="E17" s="114">
        <f>C17+C17*D17</f>
        <v>0</v>
      </c>
      <c r="F17" s="314"/>
      <c r="G17" s="114">
        <f>E17+E17*F17</f>
        <v>0</v>
      </c>
      <c r="H17" s="315">
        <v>0.2</v>
      </c>
      <c r="I17" s="298" t="s">
        <v>140</v>
      </c>
      <c r="J17" s="316">
        <v>0</v>
      </c>
      <c r="K17" s="39"/>
    </row>
    <row r="18" spans="1:11" ht="15" customHeight="1" x14ac:dyDescent="0.25">
      <c r="A18" s="38"/>
      <c r="B18" s="68" t="s">
        <v>82</v>
      </c>
      <c r="C18" s="312"/>
      <c r="D18" s="313"/>
      <c r="E18" s="114">
        <f>C18+C18*D18</f>
        <v>0</v>
      </c>
      <c r="F18" s="314"/>
      <c r="G18" s="114">
        <f>E18+E18*F18</f>
        <v>0</v>
      </c>
      <c r="H18" s="298">
        <v>0.2</v>
      </c>
      <c r="I18" s="298" t="s">
        <v>140</v>
      </c>
      <c r="J18" s="316">
        <v>0</v>
      </c>
      <c r="K18" s="39"/>
    </row>
    <row r="19" spans="1:11" s="9" customFormat="1" ht="15" customHeight="1" x14ac:dyDescent="0.25">
      <c r="A19" s="61"/>
      <c r="B19" s="67" t="s">
        <v>56</v>
      </c>
      <c r="C19" s="312"/>
      <c r="D19" s="313"/>
      <c r="E19" s="114">
        <f t="shared" ref="E19:E70" si="0">C19+C19*D19</f>
        <v>0</v>
      </c>
      <c r="F19" s="314"/>
      <c r="G19" s="114">
        <f t="shared" ref="G19:G70" si="1">E19+E19*F19</f>
        <v>0</v>
      </c>
      <c r="H19" s="298">
        <v>0.2</v>
      </c>
      <c r="I19" s="298" t="s">
        <v>140</v>
      </c>
      <c r="J19" s="316">
        <v>0</v>
      </c>
      <c r="K19" s="62"/>
    </row>
    <row r="20" spans="1:11" s="9" customFormat="1" ht="15" customHeight="1" x14ac:dyDescent="0.25">
      <c r="A20" s="61"/>
      <c r="B20" s="67" t="s">
        <v>57</v>
      </c>
      <c r="C20" s="312"/>
      <c r="D20" s="313"/>
      <c r="E20" s="114">
        <f t="shared" si="0"/>
        <v>0</v>
      </c>
      <c r="F20" s="314"/>
      <c r="G20" s="114">
        <f t="shared" si="1"/>
        <v>0</v>
      </c>
      <c r="H20" s="298">
        <v>0.2</v>
      </c>
      <c r="I20" s="298" t="s">
        <v>140</v>
      </c>
      <c r="J20" s="316">
        <v>0</v>
      </c>
      <c r="K20" s="62"/>
    </row>
    <row r="21" spans="1:11" s="9" customFormat="1" ht="15" customHeight="1" x14ac:dyDescent="0.25">
      <c r="A21" s="61"/>
      <c r="B21" s="67" t="s">
        <v>58</v>
      </c>
      <c r="C21" s="312"/>
      <c r="D21" s="313"/>
      <c r="E21" s="114">
        <f t="shared" si="0"/>
        <v>0</v>
      </c>
      <c r="F21" s="314"/>
      <c r="G21" s="114">
        <f t="shared" si="1"/>
        <v>0</v>
      </c>
      <c r="H21" s="298">
        <v>0.2</v>
      </c>
      <c r="I21" s="298" t="s">
        <v>140</v>
      </c>
      <c r="J21" s="316">
        <v>0</v>
      </c>
      <c r="K21" s="62"/>
    </row>
    <row r="22" spans="1:11" s="9" customFormat="1" ht="15" customHeight="1" x14ac:dyDescent="0.25">
      <c r="A22" s="61"/>
      <c r="B22" s="67" t="s">
        <v>59</v>
      </c>
      <c r="C22" s="312"/>
      <c r="D22" s="313"/>
      <c r="E22" s="114">
        <f t="shared" si="0"/>
        <v>0</v>
      </c>
      <c r="F22" s="314"/>
      <c r="G22" s="114">
        <f t="shared" si="1"/>
        <v>0</v>
      </c>
      <c r="H22" s="298">
        <v>0.2</v>
      </c>
      <c r="I22" s="298" t="s">
        <v>140</v>
      </c>
      <c r="J22" s="316">
        <v>0</v>
      </c>
      <c r="K22" s="62"/>
    </row>
    <row r="23" spans="1:11" s="2" customFormat="1" ht="15" customHeight="1" x14ac:dyDescent="0.25">
      <c r="A23" s="63"/>
      <c r="B23" s="69" t="s">
        <v>4</v>
      </c>
      <c r="C23" s="312"/>
      <c r="D23" s="313"/>
      <c r="E23" s="114">
        <f t="shared" si="0"/>
        <v>0</v>
      </c>
      <c r="F23" s="314"/>
      <c r="G23" s="114">
        <f t="shared" si="1"/>
        <v>0</v>
      </c>
      <c r="H23" s="298">
        <v>0.2</v>
      </c>
      <c r="I23" s="298" t="s">
        <v>140</v>
      </c>
      <c r="J23" s="316">
        <v>0</v>
      </c>
      <c r="K23" s="64"/>
    </row>
    <row r="24" spans="1:11" s="2" customFormat="1" ht="15" customHeight="1" x14ac:dyDescent="0.25">
      <c r="A24" s="63"/>
      <c r="B24" s="69" t="s">
        <v>6</v>
      </c>
      <c r="C24" s="312"/>
      <c r="D24" s="313"/>
      <c r="E24" s="114">
        <f t="shared" si="0"/>
        <v>0</v>
      </c>
      <c r="F24" s="314"/>
      <c r="G24" s="114">
        <f t="shared" si="1"/>
        <v>0</v>
      </c>
      <c r="H24" s="298">
        <v>0.2</v>
      </c>
      <c r="I24" s="298" t="s">
        <v>140</v>
      </c>
      <c r="J24" s="316">
        <v>0</v>
      </c>
      <c r="K24" s="64"/>
    </row>
    <row r="25" spans="1:11" ht="15" customHeight="1" x14ac:dyDescent="0.25">
      <c r="A25" s="38"/>
      <c r="B25" s="67" t="s">
        <v>3</v>
      </c>
      <c r="C25" s="312"/>
      <c r="D25" s="313"/>
      <c r="E25" s="114">
        <f t="shared" si="0"/>
        <v>0</v>
      </c>
      <c r="F25" s="314"/>
      <c r="G25" s="114">
        <f t="shared" si="1"/>
        <v>0</v>
      </c>
      <c r="H25" s="298">
        <v>0.2</v>
      </c>
      <c r="I25" s="298" t="s">
        <v>140</v>
      </c>
      <c r="J25" s="316">
        <v>0</v>
      </c>
      <c r="K25" s="39"/>
    </row>
    <row r="26" spans="1:11" x14ac:dyDescent="0.25">
      <c r="A26" s="38"/>
      <c r="B26" s="67" t="s">
        <v>2</v>
      </c>
      <c r="C26" s="312"/>
      <c r="D26" s="313"/>
      <c r="E26" s="114">
        <f t="shared" si="0"/>
        <v>0</v>
      </c>
      <c r="F26" s="314"/>
      <c r="G26" s="114">
        <f t="shared" si="1"/>
        <v>0</v>
      </c>
      <c r="H26" s="298">
        <v>0.2</v>
      </c>
      <c r="I26" s="298" t="s">
        <v>140</v>
      </c>
      <c r="J26" s="316">
        <v>0</v>
      </c>
      <c r="K26" s="39"/>
    </row>
    <row r="27" spans="1:11" x14ac:dyDescent="0.25">
      <c r="A27" s="38"/>
      <c r="B27" s="67" t="s">
        <v>137</v>
      </c>
      <c r="C27" s="312"/>
      <c r="D27" s="313"/>
      <c r="E27" s="114">
        <f t="shared" si="0"/>
        <v>0</v>
      </c>
      <c r="F27" s="314"/>
      <c r="G27" s="114">
        <f t="shared" si="1"/>
        <v>0</v>
      </c>
      <c r="H27" s="298">
        <v>0.2</v>
      </c>
      <c r="I27" s="298" t="s">
        <v>140</v>
      </c>
      <c r="J27" s="316">
        <v>0</v>
      </c>
      <c r="K27" s="39"/>
    </row>
    <row r="28" spans="1:11" x14ac:dyDescent="0.25">
      <c r="A28" s="38"/>
      <c r="B28" s="67" t="s">
        <v>8</v>
      </c>
      <c r="C28" s="312"/>
      <c r="D28" s="313"/>
      <c r="E28" s="114">
        <f t="shared" si="0"/>
        <v>0</v>
      </c>
      <c r="F28" s="314"/>
      <c r="G28" s="114">
        <f t="shared" si="1"/>
        <v>0</v>
      </c>
      <c r="H28" s="298">
        <v>0.2</v>
      </c>
      <c r="I28" s="298" t="s">
        <v>140</v>
      </c>
      <c r="J28" s="316">
        <v>0</v>
      </c>
      <c r="K28" s="39"/>
    </row>
    <row r="29" spans="1:11" x14ac:dyDescent="0.25">
      <c r="A29" s="38"/>
      <c r="B29" s="67" t="s">
        <v>9</v>
      </c>
      <c r="C29" s="312"/>
      <c r="D29" s="313"/>
      <c r="E29" s="114">
        <f t="shared" si="0"/>
        <v>0</v>
      </c>
      <c r="F29" s="314"/>
      <c r="G29" s="114">
        <f t="shared" si="1"/>
        <v>0</v>
      </c>
      <c r="H29" s="298">
        <v>0.2</v>
      </c>
      <c r="I29" s="298" t="s">
        <v>140</v>
      </c>
      <c r="J29" s="316">
        <v>0</v>
      </c>
      <c r="K29" s="39"/>
    </row>
    <row r="30" spans="1:11" x14ac:dyDescent="0.25">
      <c r="A30" s="38"/>
      <c r="B30" s="67" t="s">
        <v>10</v>
      </c>
      <c r="C30" s="312"/>
      <c r="D30" s="313"/>
      <c r="E30" s="114">
        <f t="shared" si="0"/>
        <v>0</v>
      </c>
      <c r="F30" s="314"/>
      <c r="G30" s="114">
        <f t="shared" si="1"/>
        <v>0</v>
      </c>
      <c r="H30" s="298">
        <v>0.2</v>
      </c>
      <c r="I30" s="298" t="s">
        <v>140</v>
      </c>
      <c r="J30" s="316">
        <v>0</v>
      </c>
      <c r="K30" s="39"/>
    </row>
    <row r="31" spans="1:11" s="9" customFormat="1" x14ac:dyDescent="0.25">
      <c r="A31" s="61"/>
      <c r="B31" s="67" t="s">
        <v>52</v>
      </c>
      <c r="C31" s="312"/>
      <c r="D31" s="313"/>
      <c r="E31" s="114">
        <f t="shared" si="0"/>
        <v>0</v>
      </c>
      <c r="F31" s="314"/>
      <c r="G31" s="114">
        <f t="shared" si="1"/>
        <v>0</v>
      </c>
      <c r="H31" s="298">
        <v>0.2</v>
      </c>
      <c r="I31" s="298" t="s">
        <v>140</v>
      </c>
      <c r="J31" s="316">
        <v>0</v>
      </c>
      <c r="K31" s="62"/>
    </row>
    <row r="32" spans="1:11" x14ac:dyDescent="0.25">
      <c r="A32" s="38"/>
      <c r="B32" s="67" t="s">
        <v>11</v>
      </c>
      <c r="C32" s="312"/>
      <c r="D32" s="313"/>
      <c r="E32" s="114">
        <f t="shared" si="0"/>
        <v>0</v>
      </c>
      <c r="F32" s="314"/>
      <c r="G32" s="114">
        <f t="shared" si="1"/>
        <v>0</v>
      </c>
      <c r="H32" s="298">
        <v>0.2</v>
      </c>
      <c r="I32" s="298" t="s">
        <v>140</v>
      </c>
      <c r="J32" s="316">
        <v>0</v>
      </c>
      <c r="K32" s="39"/>
    </row>
    <row r="33" spans="1:11" s="10" customFormat="1" ht="15" customHeight="1" x14ac:dyDescent="0.2">
      <c r="A33" s="65"/>
      <c r="B33" s="67" t="s">
        <v>136</v>
      </c>
      <c r="C33" s="312"/>
      <c r="D33" s="313"/>
      <c r="E33" s="114">
        <f t="shared" si="0"/>
        <v>0</v>
      </c>
      <c r="F33" s="314"/>
      <c r="G33" s="114">
        <f t="shared" si="1"/>
        <v>0</v>
      </c>
      <c r="H33" s="298">
        <v>0.2</v>
      </c>
      <c r="I33" s="298" t="s">
        <v>140</v>
      </c>
      <c r="J33" s="316">
        <v>0</v>
      </c>
      <c r="K33" s="66"/>
    </row>
    <row r="34" spans="1:11" x14ac:dyDescent="0.25">
      <c r="A34" s="38"/>
      <c r="B34" s="67" t="s">
        <v>12</v>
      </c>
      <c r="C34" s="312"/>
      <c r="D34" s="313"/>
      <c r="E34" s="114">
        <f t="shared" si="0"/>
        <v>0</v>
      </c>
      <c r="F34" s="314"/>
      <c r="G34" s="114">
        <f t="shared" si="1"/>
        <v>0</v>
      </c>
      <c r="H34" s="298">
        <v>0.2</v>
      </c>
      <c r="I34" s="298" t="s">
        <v>140</v>
      </c>
      <c r="J34" s="316">
        <v>0</v>
      </c>
      <c r="K34" s="39"/>
    </row>
    <row r="35" spans="1:11" s="9" customFormat="1" x14ac:dyDescent="0.25">
      <c r="A35" s="61"/>
      <c r="B35" s="67" t="s">
        <v>60</v>
      </c>
      <c r="C35" s="312"/>
      <c r="D35" s="313"/>
      <c r="E35" s="114">
        <f t="shared" si="0"/>
        <v>0</v>
      </c>
      <c r="F35" s="314"/>
      <c r="G35" s="114">
        <f t="shared" si="1"/>
        <v>0</v>
      </c>
      <c r="H35" s="298">
        <v>0.2</v>
      </c>
      <c r="I35" s="298" t="s">
        <v>140</v>
      </c>
      <c r="J35" s="316">
        <v>0</v>
      </c>
      <c r="K35" s="62"/>
    </row>
    <row r="36" spans="1:11" s="9" customFormat="1" x14ac:dyDescent="0.25">
      <c r="A36" s="61"/>
      <c r="B36" s="67" t="s">
        <v>61</v>
      </c>
      <c r="C36" s="312"/>
      <c r="D36" s="313"/>
      <c r="E36" s="114">
        <f t="shared" si="0"/>
        <v>0</v>
      </c>
      <c r="F36" s="314"/>
      <c r="G36" s="114">
        <f t="shared" si="1"/>
        <v>0</v>
      </c>
      <c r="H36" s="298">
        <v>0.2</v>
      </c>
      <c r="I36" s="298" t="s">
        <v>140</v>
      </c>
      <c r="J36" s="316">
        <v>0</v>
      </c>
      <c r="K36" s="62"/>
    </row>
    <row r="37" spans="1:11" s="9" customFormat="1" x14ac:dyDescent="0.25">
      <c r="A37" s="61"/>
      <c r="B37" s="67" t="s">
        <v>62</v>
      </c>
      <c r="C37" s="312"/>
      <c r="D37" s="313"/>
      <c r="E37" s="114">
        <f t="shared" si="0"/>
        <v>0</v>
      </c>
      <c r="F37" s="314"/>
      <c r="G37" s="114">
        <f t="shared" si="1"/>
        <v>0</v>
      </c>
      <c r="H37" s="298">
        <v>0.2</v>
      </c>
      <c r="I37" s="298" t="s">
        <v>140</v>
      </c>
      <c r="J37" s="316">
        <v>0</v>
      </c>
      <c r="K37" s="62"/>
    </row>
    <row r="38" spans="1:11" s="9" customFormat="1" x14ac:dyDescent="0.25">
      <c r="A38" s="61"/>
      <c r="B38" s="67" t="s">
        <v>63</v>
      </c>
      <c r="C38" s="312"/>
      <c r="D38" s="313"/>
      <c r="E38" s="114">
        <f t="shared" si="0"/>
        <v>0</v>
      </c>
      <c r="F38" s="314"/>
      <c r="G38" s="114">
        <f t="shared" si="1"/>
        <v>0</v>
      </c>
      <c r="H38" s="298">
        <v>0.2</v>
      </c>
      <c r="I38" s="298" t="s">
        <v>140</v>
      </c>
      <c r="J38" s="316">
        <v>0</v>
      </c>
      <c r="K38" s="62"/>
    </row>
    <row r="39" spans="1:11" s="9" customFormat="1" x14ac:dyDescent="0.25">
      <c r="A39" s="61"/>
      <c r="B39" s="67" t="s">
        <v>64</v>
      </c>
      <c r="C39" s="312"/>
      <c r="D39" s="313"/>
      <c r="E39" s="114">
        <f t="shared" si="0"/>
        <v>0</v>
      </c>
      <c r="F39" s="314"/>
      <c r="G39" s="114">
        <f t="shared" si="1"/>
        <v>0</v>
      </c>
      <c r="H39" s="298">
        <v>0.2</v>
      </c>
      <c r="I39" s="298" t="s">
        <v>140</v>
      </c>
      <c r="J39" s="316">
        <v>0</v>
      </c>
      <c r="K39" s="62"/>
    </row>
    <row r="40" spans="1:11" s="9" customFormat="1" x14ac:dyDescent="0.25">
      <c r="A40" s="61"/>
      <c r="B40" s="67" t="s">
        <v>65</v>
      </c>
      <c r="C40" s="312"/>
      <c r="D40" s="313"/>
      <c r="E40" s="114">
        <f t="shared" si="0"/>
        <v>0</v>
      </c>
      <c r="F40" s="314"/>
      <c r="G40" s="114">
        <f t="shared" si="1"/>
        <v>0</v>
      </c>
      <c r="H40" s="298">
        <v>0.2</v>
      </c>
      <c r="I40" s="298" t="s">
        <v>140</v>
      </c>
      <c r="J40" s="316">
        <v>0</v>
      </c>
      <c r="K40" s="62"/>
    </row>
    <row r="41" spans="1:11" s="9" customFormat="1" x14ac:dyDescent="0.25">
      <c r="A41" s="61"/>
      <c r="B41" s="67" t="s">
        <v>66</v>
      </c>
      <c r="C41" s="312"/>
      <c r="D41" s="313"/>
      <c r="E41" s="114">
        <f t="shared" si="0"/>
        <v>0</v>
      </c>
      <c r="F41" s="314"/>
      <c r="G41" s="114">
        <f t="shared" si="1"/>
        <v>0</v>
      </c>
      <c r="H41" s="298">
        <v>0.2</v>
      </c>
      <c r="I41" s="298" t="s">
        <v>140</v>
      </c>
      <c r="J41" s="316">
        <v>0</v>
      </c>
      <c r="K41" s="62"/>
    </row>
    <row r="42" spans="1:11" s="9" customFormat="1" x14ac:dyDescent="0.25">
      <c r="A42" s="61"/>
      <c r="B42" s="67" t="s">
        <v>67</v>
      </c>
      <c r="C42" s="312"/>
      <c r="D42" s="313"/>
      <c r="E42" s="114">
        <f t="shared" si="0"/>
        <v>0</v>
      </c>
      <c r="F42" s="314"/>
      <c r="G42" s="114">
        <f t="shared" si="1"/>
        <v>0</v>
      </c>
      <c r="H42" s="298">
        <v>0.2</v>
      </c>
      <c r="I42" s="298" t="s">
        <v>140</v>
      </c>
      <c r="J42" s="316">
        <v>0</v>
      </c>
      <c r="K42" s="62"/>
    </row>
    <row r="43" spans="1:11" s="9" customFormat="1" x14ac:dyDescent="0.25">
      <c r="A43" s="61"/>
      <c r="B43" s="67" t="s">
        <v>68</v>
      </c>
      <c r="C43" s="312"/>
      <c r="D43" s="313"/>
      <c r="E43" s="114">
        <f t="shared" si="0"/>
        <v>0</v>
      </c>
      <c r="F43" s="314"/>
      <c r="G43" s="114">
        <f t="shared" si="1"/>
        <v>0</v>
      </c>
      <c r="H43" s="298">
        <v>0.2</v>
      </c>
      <c r="I43" s="298" t="s">
        <v>140</v>
      </c>
      <c r="J43" s="316">
        <v>0</v>
      </c>
      <c r="K43" s="62"/>
    </row>
    <row r="44" spans="1:11" s="9" customFormat="1" x14ac:dyDescent="0.25">
      <c r="A44" s="61"/>
      <c r="B44" s="67" t="s">
        <v>132</v>
      </c>
      <c r="C44" s="312"/>
      <c r="D44" s="313"/>
      <c r="E44" s="114">
        <f t="shared" si="0"/>
        <v>0</v>
      </c>
      <c r="F44" s="314"/>
      <c r="G44" s="114">
        <f t="shared" si="1"/>
        <v>0</v>
      </c>
      <c r="H44" s="298">
        <v>0.2</v>
      </c>
      <c r="I44" s="298" t="s">
        <v>140</v>
      </c>
      <c r="J44" s="316">
        <v>0</v>
      </c>
      <c r="K44" s="62"/>
    </row>
    <row r="45" spans="1:11" s="9" customFormat="1" x14ac:dyDescent="0.25">
      <c r="A45" s="61"/>
      <c r="B45" s="70" t="s">
        <v>133</v>
      </c>
      <c r="C45" s="312"/>
      <c r="D45" s="313"/>
      <c r="E45" s="114">
        <f t="shared" si="0"/>
        <v>0</v>
      </c>
      <c r="F45" s="314"/>
      <c r="G45" s="114">
        <f t="shared" si="1"/>
        <v>0</v>
      </c>
      <c r="H45" s="298">
        <v>0.2</v>
      </c>
      <c r="I45" s="298" t="s">
        <v>140</v>
      </c>
      <c r="J45" s="316">
        <v>0</v>
      </c>
      <c r="K45" s="62"/>
    </row>
    <row r="46" spans="1:11" x14ac:dyDescent="0.25">
      <c r="A46" s="38"/>
      <c r="B46" s="67" t="s">
        <v>13</v>
      </c>
      <c r="C46" s="312"/>
      <c r="D46" s="313"/>
      <c r="E46" s="114">
        <f t="shared" si="0"/>
        <v>0</v>
      </c>
      <c r="F46" s="314"/>
      <c r="G46" s="114">
        <f t="shared" si="1"/>
        <v>0</v>
      </c>
      <c r="H46" s="298">
        <v>0.2</v>
      </c>
      <c r="I46" s="298" t="s">
        <v>140</v>
      </c>
      <c r="J46" s="316">
        <v>0</v>
      </c>
      <c r="K46" s="39"/>
    </row>
    <row r="47" spans="1:11" x14ac:dyDescent="0.25">
      <c r="A47" s="38"/>
      <c r="B47" s="67" t="s">
        <v>14</v>
      </c>
      <c r="C47" s="312"/>
      <c r="D47" s="313"/>
      <c r="E47" s="114">
        <f t="shared" si="0"/>
        <v>0</v>
      </c>
      <c r="F47" s="314"/>
      <c r="G47" s="114">
        <f t="shared" si="1"/>
        <v>0</v>
      </c>
      <c r="H47" s="298">
        <v>0.2</v>
      </c>
      <c r="I47" s="298" t="s">
        <v>140</v>
      </c>
      <c r="J47" s="316">
        <v>0</v>
      </c>
      <c r="K47" s="39"/>
    </row>
    <row r="48" spans="1:11" x14ac:dyDescent="0.25">
      <c r="A48" s="38"/>
      <c r="B48" s="67" t="s">
        <v>15</v>
      </c>
      <c r="C48" s="312"/>
      <c r="D48" s="313"/>
      <c r="E48" s="114">
        <f t="shared" si="0"/>
        <v>0</v>
      </c>
      <c r="F48" s="314"/>
      <c r="G48" s="114">
        <f t="shared" si="1"/>
        <v>0</v>
      </c>
      <c r="H48" s="298">
        <v>0.2</v>
      </c>
      <c r="I48" s="298" t="s">
        <v>140</v>
      </c>
      <c r="J48" s="316">
        <v>0</v>
      </c>
      <c r="K48" s="39"/>
    </row>
    <row r="49" spans="1:11" x14ac:dyDescent="0.25">
      <c r="A49" s="38"/>
      <c r="B49" s="67" t="s">
        <v>16</v>
      </c>
      <c r="C49" s="312"/>
      <c r="D49" s="313"/>
      <c r="E49" s="114">
        <f t="shared" si="0"/>
        <v>0</v>
      </c>
      <c r="F49" s="314"/>
      <c r="G49" s="114">
        <f t="shared" si="1"/>
        <v>0</v>
      </c>
      <c r="H49" s="298">
        <v>0.2</v>
      </c>
      <c r="I49" s="298" t="s">
        <v>140</v>
      </c>
      <c r="J49" s="316">
        <v>0</v>
      </c>
      <c r="K49" s="39"/>
    </row>
    <row r="50" spans="1:11" x14ac:dyDescent="0.25">
      <c r="A50" s="38"/>
      <c r="B50" s="67" t="s">
        <v>17</v>
      </c>
      <c r="C50" s="312"/>
      <c r="D50" s="313"/>
      <c r="E50" s="114">
        <f t="shared" si="0"/>
        <v>0</v>
      </c>
      <c r="F50" s="314"/>
      <c r="G50" s="114">
        <f t="shared" si="1"/>
        <v>0</v>
      </c>
      <c r="H50" s="298">
        <v>0.2</v>
      </c>
      <c r="I50" s="298" t="s">
        <v>140</v>
      </c>
      <c r="J50" s="316">
        <v>0</v>
      </c>
      <c r="K50" s="39"/>
    </row>
    <row r="51" spans="1:11" x14ac:dyDescent="0.25">
      <c r="A51" s="38"/>
      <c r="B51" s="67" t="s">
        <v>18</v>
      </c>
      <c r="C51" s="312"/>
      <c r="D51" s="313"/>
      <c r="E51" s="114">
        <f t="shared" si="0"/>
        <v>0</v>
      </c>
      <c r="F51" s="314"/>
      <c r="G51" s="114">
        <f t="shared" si="1"/>
        <v>0</v>
      </c>
      <c r="H51" s="298">
        <v>0.2</v>
      </c>
      <c r="I51" s="298" t="s">
        <v>140</v>
      </c>
      <c r="J51" s="316">
        <v>0</v>
      </c>
      <c r="K51" s="39"/>
    </row>
    <row r="52" spans="1:11" s="9" customFormat="1" x14ac:dyDescent="0.25">
      <c r="A52" s="61"/>
      <c r="B52" s="67" t="s">
        <v>134</v>
      </c>
      <c r="C52" s="312"/>
      <c r="D52" s="313"/>
      <c r="E52" s="114">
        <f t="shared" si="0"/>
        <v>0</v>
      </c>
      <c r="F52" s="314"/>
      <c r="G52" s="114">
        <f t="shared" si="1"/>
        <v>0</v>
      </c>
      <c r="H52" s="298">
        <v>0.2</v>
      </c>
      <c r="I52" s="298" t="s">
        <v>140</v>
      </c>
      <c r="J52" s="316">
        <v>0</v>
      </c>
      <c r="K52" s="62"/>
    </row>
    <row r="53" spans="1:11" s="9" customFormat="1" x14ac:dyDescent="0.25">
      <c r="A53" s="61"/>
      <c r="B53" s="70" t="s">
        <v>135</v>
      </c>
      <c r="C53" s="312"/>
      <c r="D53" s="313"/>
      <c r="E53" s="114">
        <f t="shared" si="0"/>
        <v>0</v>
      </c>
      <c r="F53" s="314"/>
      <c r="G53" s="114">
        <f t="shared" si="1"/>
        <v>0</v>
      </c>
      <c r="H53" s="298">
        <v>0.2</v>
      </c>
      <c r="I53" s="298" t="s">
        <v>140</v>
      </c>
      <c r="J53" s="316">
        <v>0</v>
      </c>
      <c r="K53" s="62"/>
    </row>
    <row r="54" spans="1:11" s="9" customFormat="1" x14ac:dyDescent="0.25">
      <c r="A54" s="61"/>
      <c r="B54" s="67" t="s">
        <v>73</v>
      </c>
      <c r="C54" s="312"/>
      <c r="D54" s="313"/>
      <c r="E54" s="114">
        <f t="shared" si="0"/>
        <v>0</v>
      </c>
      <c r="F54" s="314"/>
      <c r="G54" s="114">
        <f t="shared" si="1"/>
        <v>0</v>
      </c>
      <c r="H54" s="298">
        <v>0.2</v>
      </c>
      <c r="I54" s="298" t="s">
        <v>140</v>
      </c>
      <c r="J54" s="316">
        <v>0</v>
      </c>
      <c r="K54" s="62"/>
    </row>
    <row r="55" spans="1:11" s="9" customFormat="1" x14ac:dyDescent="0.25">
      <c r="A55" s="61"/>
      <c r="B55" s="67" t="s">
        <v>72</v>
      </c>
      <c r="C55" s="312"/>
      <c r="D55" s="313"/>
      <c r="E55" s="114">
        <f t="shared" si="0"/>
        <v>0</v>
      </c>
      <c r="F55" s="314"/>
      <c r="G55" s="114">
        <f t="shared" si="1"/>
        <v>0</v>
      </c>
      <c r="H55" s="298">
        <v>0.2</v>
      </c>
      <c r="I55" s="298" t="s">
        <v>140</v>
      </c>
      <c r="J55" s="316">
        <v>0</v>
      </c>
      <c r="K55" s="62"/>
    </row>
    <row r="56" spans="1:11" s="9" customFormat="1" x14ac:dyDescent="0.25">
      <c r="A56" s="61"/>
      <c r="B56" s="67" t="s">
        <v>71</v>
      </c>
      <c r="C56" s="312"/>
      <c r="D56" s="313"/>
      <c r="E56" s="114">
        <f t="shared" si="0"/>
        <v>0</v>
      </c>
      <c r="F56" s="314"/>
      <c r="G56" s="114">
        <f t="shared" si="1"/>
        <v>0</v>
      </c>
      <c r="H56" s="298">
        <v>0.2</v>
      </c>
      <c r="I56" s="298" t="s">
        <v>140</v>
      </c>
      <c r="J56" s="316">
        <v>0</v>
      </c>
      <c r="K56" s="62"/>
    </row>
    <row r="57" spans="1:11" s="9" customFormat="1" x14ac:dyDescent="0.25">
      <c r="A57" s="61"/>
      <c r="B57" s="67" t="s">
        <v>70</v>
      </c>
      <c r="C57" s="312"/>
      <c r="D57" s="313"/>
      <c r="E57" s="114">
        <f t="shared" si="0"/>
        <v>0</v>
      </c>
      <c r="F57" s="314"/>
      <c r="G57" s="114">
        <f t="shared" si="1"/>
        <v>0</v>
      </c>
      <c r="H57" s="298">
        <v>0.2</v>
      </c>
      <c r="I57" s="298" t="s">
        <v>140</v>
      </c>
      <c r="J57" s="316">
        <v>0</v>
      </c>
      <c r="K57" s="62"/>
    </row>
    <row r="58" spans="1:11" s="9" customFormat="1" x14ac:dyDescent="0.25">
      <c r="A58" s="61"/>
      <c r="B58" s="67" t="s">
        <v>69</v>
      </c>
      <c r="C58" s="312"/>
      <c r="D58" s="313"/>
      <c r="E58" s="114">
        <f t="shared" si="0"/>
        <v>0</v>
      </c>
      <c r="F58" s="314"/>
      <c r="G58" s="114">
        <f t="shared" si="1"/>
        <v>0</v>
      </c>
      <c r="H58" s="298">
        <v>0.2</v>
      </c>
      <c r="I58" s="298" t="s">
        <v>140</v>
      </c>
      <c r="J58" s="316">
        <v>0</v>
      </c>
      <c r="K58" s="62"/>
    </row>
    <row r="59" spans="1:11" x14ac:dyDescent="0.25">
      <c r="A59" s="38"/>
      <c r="B59" s="67" t="s">
        <v>19</v>
      </c>
      <c r="C59" s="312"/>
      <c r="D59" s="313"/>
      <c r="E59" s="114">
        <f t="shared" si="0"/>
        <v>0</v>
      </c>
      <c r="F59" s="314"/>
      <c r="G59" s="114">
        <f t="shared" si="1"/>
        <v>0</v>
      </c>
      <c r="H59" s="298">
        <v>0.2</v>
      </c>
      <c r="I59" s="298" t="s">
        <v>140</v>
      </c>
      <c r="J59" s="316">
        <v>0</v>
      </c>
      <c r="K59" s="39"/>
    </row>
    <row r="60" spans="1:11" x14ac:dyDescent="0.25">
      <c r="A60" s="38"/>
      <c r="B60" s="70" t="s">
        <v>131</v>
      </c>
      <c r="C60" s="312"/>
      <c r="D60" s="313"/>
      <c r="E60" s="114">
        <f t="shared" si="0"/>
        <v>0</v>
      </c>
      <c r="F60" s="314"/>
      <c r="G60" s="114">
        <f t="shared" si="1"/>
        <v>0</v>
      </c>
      <c r="H60" s="298">
        <v>0.2</v>
      </c>
      <c r="I60" s="298" t="s">
        <v>140</v>
      </c>
      <c r="J60" s="316">
        <v>0</v>
      </c>
      <c r="K60" s="39"/>
    </row>
    <row r="61" spans="1:11" x14ac:dyDescent="0.25">
      <c r="A61" s="38"/>
      <c r="B61" s="70" t="s">
        <v>131</v>
      </c>
      <c r="C61" s="312"/>
      <c r="D61" s="313"/>
      <c r="E61" s="114">
        <f t="shared" si="0"/>
        <v>0</v>
      </c>
      <c r="F61" s="314"/>
      <c r="G61" s="114">
        <f t="shared" si="1"/>
        <v>0</v>
      </c>
      <c r="H61" s="298">
        <v>0.2</v>
      </c>
      <c r="I61" s="298" t="s">
        <v>140</v>
      </c>
      <c r="J61" s="316">
        <v>0</v>
      </c>
      <c r="K61" s="39"/>
    </row>
    <row r="62" spans="1:11" x14ac:dyDescent="0.25">
      <c r="A62" s="38"/>
      <c r="B62" s="70" t="s">
        <v>131</v>
      </c>
      <c r="C62" s="312"/>
      <c r="D62" s="313"/>
      <c r="E62" s="114">
        <f t="shared" si="0"/>
        <v>0</v>
      </c>
      <c r="F62" s="314"/>
      <c r="G62" s="114">
        <f t="shared" si="1"/>
        <v>0</v>
      </c>
      <c r="H62" s="298">
        <v>0.2</v>
      </c>
      <c r="I62" s="298" t="s">
        <v>140</v>
      </c>
      <c r="J62" s="316">
        <v>0</v>
      </c>
      <c r="K62" s="39"/>
    </row>
    <row r="63" spans="1:11" x14ac:dyDescent="0.25">
      <c r="A63" s="38"/>
      <c r="B63" s="70" t="s">
        <v>131</v>
      </c>
      <c r="C63" s="312"/>
      <c r="D63" s="313"/>
      <c r="E63" s="114">
        <f t="shared" si="0"/>
        <v>0</v>
      </c>
      <c r="F63" s="314"/>
      <c r="G63" s="114">
        <f t="shared" si="1"/>
        <v>0</v>
      </c>
      <c r="H63" s="298">
        <v>0.2</v>
      </c>
      <c r="I63" s="298" t="s">
        <v>140</v>
      </c>
      <c r="J63" s="316">
        <v>0</v>
      </c>
      <c r="K63" s="39"/>
    </row>
    <row r="64" spans="1:11" x14ac:dyDescent="0.25">
      <c r="A64" s="38"/>
      <c r="B64" s="70" t="s">
        <v>131</v>
      </c>
      <c r="C64" s="312"/>
      <c r="D64" s="313"/>
      <c r="E64" s="114">
        <f t="shared" si="0"/>
        <v>0</v>
      </c>
      <c r="F64" s="314"/>
      <c r="G64" s="114">
        <f t="shared" si="1"/>
        <v>0</v>
      </c>
      <c r="H64" s="298">
        <v>0.2</v>
      </c>
      <c r="I64" s="298" t="s">
        <v>140</v>
      </c>
      <c r="J64" s="316">
        <v>0</v>
      </c>
      <c r="K64" s="39"/>
    </row>
    <row r="65" spans="1:11" x14ac:dyDescent="0.25">
      <c r="A65" s="38"/>
      <c r="B65" s="70" t="s">
        <v>131</v>
      </c>
      <c r="C65" s="312"/>
      <c r="D65" s="313"/>
      <c r="E65" s="114">
        <f t="shared" si="0"/>
        <v>0</v>
      </c>
      <c r="F65" s="314"/>
      <c r="G65" s="114">
        <f t="shared" si="1"/>
        <v>0</v>
      </c>
      <c r="H65" s="298">
        <v>0.2</v>
      </c>
      <c r="I65" s="298" t="s">
        <v>140</v>
      </c>
      <c r="J65" s="316">
        <v>0</v>
      </c>
      <c r="K65" s="39"/>
    </row>
    <row r="66" spans="1:11" x14ac:dyDescent="0.25">
      <c r="A66" s="38"/>
      <c r="B66" s="70" t="s">
        <v>131</v>
      </c>
      <c r="C66" s="312"/>
      <c r="D66" s="313"/>
      <c r="E66" s="114">
        <f t="shared" si="0"/>
        <v>0</v>
      </c>
      <c r="F66" s="314"/>
      <c r="G66" s="114">
        <f t="shared" si="1"/>
        <v>0</v>
      </c>
      <c r="H66" s="298">
        <v>0.2</v>
      </c>
      <c r="I66" s="298" t="s">
        <v>140</v>
      </c>
      <c r="J66" s="316">
        <v>0</v>
      </c>
      <c r="K66" s="39"/>
    </row>
    <row r="67" spans="1:11" x14ac:dyDescent="0.25">
      <c r="A67" s="38"/>
      <c r="B67" s="70" t="s">
        <v>131</v>
      </c>
      <c r="C67" s="312"/>
      <c r="D67" s="313"/>
      <c r="E67" s="114">
        <f t="shared" si="0"/>
        <v>0</v>
      </c>
      <c r="F67" s="314"/>
      <c r="G67" s="114">
        <f t="shared" si="1"/>
        <v>0</v>
      </c>
      <c r="H67" s="298">
        <v>0.2</v>
      </c>
      <c r="I67" s="298" t="s">
        <v>140</v>
      </c>
      <c r="J67" s="316">
        <v>0</v>
      </c>
      <c r="K67" s="39"/>
    </row>
    <row r="68" spans="1:11" x14ac:dyDescent="0.25">
      <c r="A68" s="38"/>
      <c r="B68" s="70" t="s">
        <v>131</v>
      </c>
      <c r="C68" s="312"/>
      <c r="D68" s="313"/>
      <c r="E68" s="114">
        <f t="shared" si="0"/>
        <v>0</v>
      </c>
      <c r="F68" s="314"/>
      <c r="G68" s="114">
        <f t="shared" si="1"/>
        <v>0</v>
      </c>
      <c r="H68" s="298">
        <v>0.2</v>
      </c>
      <c r="I68" s="298" t="s">
        <v>140</v>
      </c>
      <c r="J68" s="316">
        <v>0</v>
      </c>
      <c r="K68" s="39"/>
    </row>
    <row r="69" spans="1:11" x14ac:dyDescent="0.25">
      <c r="A69" s="38"/>
      <c r="B69" s="70" t="s">
        <v>131</v>
      </c>
      <c r="C69" s="312"/>
      <c r="D69" s="313"/>
      <c r="E69" s="114">
        <f t="shared" si="0"/>
        <v>0</v>
      </c>
      <c r="F69" s="314"/>
      <c r="G69" s="114">
        <f t="shared" si="1"/>
        <v>0</v>
      </c>
      <c r="H69" s="298">
        <v>0.2</v>
      </c>
      <c r="I69" s="298" t="s">
        <v>140</v>
      </c>
      <c r="J69" s="316">
        <v>0</v>
      </c>
      <c r="K69" s="39"/>
    </row>
    <row r="70" spans="1:11" x14ac:dyDescent="0.25">
      <c r="A70" s="38"/>
      <c r="B70" s="33" t="s">
        <v>131</v>
      </c>
      <c r="C70" s="312"/>
      <c r="D70" s="313"/>
      <c r="E70" s="114">
        <f t="shared" si="0"/>
        <v>0</v>
      </c>
      <c r="F70" s="314"/>
      <c r="G70" s="114">
        <f t="shared" si="1"/>
        <v>0</v>
      </c>
      <c r="H70" s="298">
        <v>0.2</v>
      </c>
      <c r="I70" s="298" t="s">
        <v>140</v>
      </c>
      <c r="J70" s="316">
        <v>0</v>
      </c>
      <c r="K70" s="39"/>
    </row>
    <row r="71" spans="1:11" x14ac:dyDescent="0.25">
      <c r="A71" s="38"/>
      <c r="B71" s="73" t="s">
        <v>28</v>
      </c>
      <c r="C71" s="108">
        <f>+SUM(C17:C70)</f>
        <v>0</v>
      </c>
      <c r="D71" s="74"/>
      <c r="E71" s="108">
        <f>+SUM(E17:E70)</f>
        <v>0</v>
      </c>
      <c r="F71" s="74"/>
      <c r="G71" s="108">
        <f>+SUM(G17:G70)</f>
        <v>0</v>
      </c>
      <c r="H71" s="74"/>
      <c r="I71" s="252"/>
      <c r="J71" s="252"/>
      <c r="K71" s="39"/>
    </row>
    <row r="72" spans="1:11" x14ac:dyDescent="0.25">
      <c r="A72" s="38"/>
      <c r="B72" s="60"/>
      <c r="C72" s="31"/>
      <c r="D72" s="31"/>
      <c r="E72" s="31"/>
      <c r="F72" s="31"/>
      <c r="G72" s="31"/>
      <c r="H72" s="31"/>
      <c r="I72" s="31"/>
      <c r="J72" s="31"/>
      <c r="K72" s="39"/>
    </row>
    <row r="73" spans="1:11" hidden="1" x14ac:dyDescent="0.25">
      <c r="A73" s="38"/>
      <c r="B73" s="11" t="s">
        <v>215</v>
      </c>
      <c r="C73" s="31"/>
      <c r="D73" s="31"/>
      <c r="E73" s="31"/>
      <c r="F73" s="31"/>
      <c r="G73" s="31"/>
      <c r="H73" s="31"/>
      <c r="I73" s="31"/>
      <c r="J73" s="31"/>
      <c r="K73" s="39"/>
    </row>
    <row r="74" spans="1:11" hidden="1" x14ac:dyDescent="0.25">
      <c r="A74" s="38"/>
      <c r="B74" s="12" t="s">
        <v>138</v>
      </c>
      <c r="C74" s="13">
        <f>SUMIF(H17:H70,20%,C17:C70)</f>
        <v>0</v>
      </c>
      <c r="D74" s="14"/>
      <c r="E74" s="13">
        <f>SUMIF(H17:H70,20%,E17:E70)</f>
        <v>0</v>
      </c>
      <c r="F74" s="14"/>
      <c r="G74" s="13">
        <f>SUMIF(H17:H70,20%,G17:G70)</f>
        <v>0</v>
      </c>
      <c r="H74" s="31"/>
      <c r="I74" s="31"/>
      <c r="J74" s="31"/>
      <c r="K74" s="39"/>
    </row>
    <row r="75" spans="1:11" hidden="1" x14ac:dyDescent="0.25">
      <c r="A75" s="38"/>
      <c r="B75" s="12" t="s">
        <v>74</v>
      </c>
      <c r="C75" s="13">
        <f>+SUMIF(H17:H70,0%,C17:C70)</f>
        <v>0</v>
      </c>
      <c r="D75" s="14"/>
      <c r="E75" s="13">
        <f>+SUMIF(H17:H70,0%,E17:E70)</f>
        <v>0</v>
      </c>
      <c r="F75" s="14"/>
      <c r="G75" s="13">
        <f>+SUMIF(H17:H70,0%,G17:G70)</f>
        <v>0</v>
      </c>
      <c r="H75" s="31"/>
      <c r="I75" s="31"/>
      <c r="J75" s="31"/>
      <c r="K75" s="39"/>
    </row>
    <row r="76" spans="1:11" hidden="1" x14ac:dyDescent="0.25">
      <c r="A76" s="38"/>
      <c r="B76" s="60"/>
      <c r="C76" s="31"/>
      <c r="D76" s="31"/>
      <c r="E76" s="31"/>
      <c r="F76" s="31"/>
      <c r="G76" s="31"/>
      <c r="H76" s="31"/>
      <c r="I76" s="31"/>
      <c r="J76" s="31"/>
      <c r="K76" s="39"/>
    </row>
    <row r="77" spans="1:11" ht="15.75" hidden="1" customHeight="1" x14ac:dyDescent="0.25">
      <c r="A77" s="38"/>
      <c r="B77" s="11" t="s">
        <v>75</v>
      </c>
      <c r="C77" s="15">
        <f>C74+C75</f>
        <v>0</v>
      </c>
      <c r="D77" s="31"/>
      <c r="E77" s="31"/>
      <c r="F77" s="31"/>
      <c r="G77" s="31"/>
      <c r="H77" s="31"/>
      <c r="I77" s="31"/>
      <c r="J77" s="31"/>
      <c r="K77" s="39"/>
    </row>
    <row r="78" spans="1:11" hidden="1" x14ac:dyDescent="0.25">
      <c r="A78" s="38"/>
      <c r="B78" s="31"/>
      <c r="C78" s="31"/>
      <c r="D78" s="31"/>
      <c r="E78" s="31"/>
      <c r="F78" s="31"/>
      <c r="G78" s="31"/>
      <c r="H78" s="31"/>
      <c r="I78" s="31"/>
      <c r="J78" s="31"/>
      <c r="K78" s="39"/>
    </row>
    <row r="79" spans="1:11" hidden="1" x14ac:dyDescent="0.25">
      <c r="A79" s="38"/>
      <c r="B79" s="16" t="s">
        <v>76</v>
      </c>
      <c r="C79" s="17">
        <f>C74*20%</f>
        <v>0</v>
      </c>
      <c r="D79" s="18"/>
      <c r="E79" s="17">
        <f>E74*20%</f>
        <v>0</v>
      </c>
      <c r="F79" s="18"/>
      <c r="G79" s="17">
        <f>G74*20%</f>
        <v>0</v>
      </c>
      <c r="H79" s="31"/>
      <c r="I79" s="31"/>
      <c r="J79" s="31"/>
      <c r="K79" s="39"/>
    </row>
    <row r="80" spans="1:11" hidden="1" x14ac:dyDescent="0.25">
      <c r="A80" s="38"/>
      <c r="B80" s="31"/>
      <c r="C80" s="31"/>
      <c r="D80" s="31"/>
      <c r="E80" s="31"/>
      <c r="F80" s="31"/>
      <c r="G80" s="31"/>
      <c r="H80" s="31"/>
      <c r="I80" s="31"/>
      <c r="J80" s="31"/>
      <c r="K80" s="39"/>
    </row>
    <row r="81" spans="1:11" x14ac:dyDescent="0.25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4"/>
    </row>
  </sheetData>
  <mergeCells count="1">
    <mergeCell ref="B2:J2"/>
  </mergeCells>
  <hyperlinks>
    <hyperlink ref="B14" r:id="rId1"/>
    <hyperlink ref="C14" r:id="rId2"/>
  </hyperlinks>
  <pageMargins left="0.7" right="0.7" top="0.75" bottom="0.75" header="0.3" footer="0.3"/>
  <pageSetup paperSize="9" orientation="portrait" horizontalDpi="0" verticalDpi="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Caractéristiques!$I$57:$I$59</xm:f>
          </x14:formula1>
          <xm:sqref>J17:J70</xm:sqref>
        </x14:dataValidation>
        <x14:dataValidation type="list" allowBlank="1" showInputMessage="1" showErrorMessage="1">
          <x14:formula1>
            <xm:f>Caractéristiques!$E$76:$E$79</xm:f>
          </x14:formula1>
          <xm:sqref>I17:I70</xm:sqref>
        </x14:dataValidation>
        <x14:dataValidation type="list" allowBlank="1" showInputMessage="1" showErrorMessage="1">
          <x14:formula1>
            <xm:f>Caractéristiques!$C$65:$C$66</xm:f>
          </x14:formula1>
          <xm:sqref>H17:H70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U295"/>
  <sheetViews>
    <sheetView showGridLines="0" topLeftCell="A19" zoomScale="90" zoomScaleNormal="90" workbookViewId="0">
      <selection activeCell="H26" sqref="H26"/>
    </sheetView>
  </sheetViews>
  <sheetFormatPr baseColWidth="10" defaultRowHeight="15" x14ac:dyDescent="0.25"/>
  <cols>
    <col min="1" max="1" width="2.42578125" style="29" customWidth="1"/>
    <col min="2" max="2" width="29.42578125" customWidth="1"/>
    <col min="3" max="14" width="15.7109375" customWidth="1"/>
    <col min="15" max="15" width="13.42578125" customWidth="1"/>
    <col min="16" max="16" width="3.140625" style="29" customWidth="1"/>
    <col min="17" max="47" width="11.42578125" style="34"/>
  </cols>
  <sheetData>
    <row r="1" spans="1:47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47" ht="28.5" customHeight="1" x14ac:dyDescent="0.25">
      <c r="A2" s="38"/>
      <c r="B2" s="365" t="s">
        <v>185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9"/>
    </row>
    <row r="3" spans="1:47" s="29" customFormat="1" ht="15" customHeight="1" x14ac:dyDescent="0.25">
      <c r="A3" s="3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9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</row>
    <row r="4" spans="1:47" s="29" customFormat="1" ht="15" customHeight="1" x14ac:dyDescent="0.25">
      <c r="A4" s="38"/>
      <c r="B4" s="258" t="s">
        <v>27</v>
      </c>
      <c r="C4" s="259"/>
      <c r="D4" s="272"/>
      <c r="E4" s="272"/>
      <c r="F4" s="272"/>
      <c r="G4" s="272"/>
      <c r="H4" s="272"/>
      <c r="I4" s="273"/>
      <c r="J4" s="30"/>
      <c r="K4" s="30"/>
      <c r="L4" s="30"/>
      <c r="M4" s="30"/>
      <c r="N4" s="30"/>
      <c r="O4" s="30"/>
      <c r="P4" s="39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s="29" customFormat="1" ht="15" customHeight="1" x14ac:dyDescent="0.25">
      <c r="A5" s="38"/>
      <c r="B5" s="266" t="s">
        <v>163</v>
      </c>
      <c r="C5" s="262"/>
      <c r="D5" s="262"/>
      <c r="E5" s="274"/>
      <c r="F5" s="274"/>
      <c r="G5" s="274"/>
      <c r="H5" s="274"/>
      <c r="I5" s="263"/>
      <c r="J5" s="30"/>
      <c r="K5" s="30"/>
      <c r="L5" s="30"/>
      <c r="M5" s="30"/>
      <c r="N5" s="30"/>
      <c r="O5" s="30"/>
      <c r="P5" s="39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7" s="29" customFormat="1" ht="15" customHeight="1" x14ac:dyDescent="0.25">
      <c r="A6" s="38"/>
      <c r="B6" s="261" t="s">
        <v>639</v>
      </c>
      <c r="C6" s="262"/>
      <c r="D6" s="262"/>
      <c r="E6" s="274"/>
      <c r="F6" s="274"/>
      <c r="G6" s="274"/>
      <c r="H6" s="274"/>
      <c r="I6" s="263"/>
      <c r="J6" s="30"/>
      <c r="K6" s="30"/>
      <c r="L6" s="30"/>
      <c r="M6" s="30"/>
      <c r="N6" s="30"/>
      <c r="O6" s="30"/>
      <c r="P6" s="3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s="29" customFormat="1" ht="15" customHeight="1" x14ac:dyDescent="0.25">
      <c r="A7" s="38"/>
      <c r="B7" s="261" t="s">
        <v>640</v>
      </c>
      <c r="C7" s="262"/>
      <c r="D7" s="262"/>
      <c r="E7" s="274"/>
      <c r="F7" s="274"/>
      <c r="G7" s="274"/>
      <c r="H7" s="274"/>
      <c r="I7" s="263"/>
      <c r="J7" s="30"/>
      <c r="K7" s="30"/>
      <c r="L7" s="30"/>
      <c r="M7" s="30"/>
      <c r="N7" s="30"/>
      <c r="O7" s="30"/>
      <c r="P7" s="39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47" s="29" customFormat="1" ht="15" customHeight="1" x14ac:dyDescent="0.25">
      <c r="A8" s="38"/>
      <c r="B8" s="261" t="s">
        <v>641</v>
      </c>
      <c r="C8" s="262"/>
      <c r="D8" s="262"/>
      <c r="E8" s="274"/>
      <c r="F8" s="274"/>
      <c r="G8" s="274"/>
      <c r="H8" s="274"/>
      <c r="I8" s="263"/>
      <c r="J8" s="30"/>
      <c r="K8" s="30"/>
      <c r="L8" s="30"/>
      <c r="M8" s="30"/>
      <c r="N8" s="30"/>
      <c r="O8" s="30"/>
      <c r="P8" s="39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47" s="29" customFormat="1" ht="15" customHeight="1" x14ac:dyDescent="0.25">
      <c r="A9" s="38"/>
      <c r="B9" s="261" t="s">
        <v>642</v>
      </c>
      <c r="C9" s="262"/>
      <c r="D9" s="262"/>
      <c r="E9" s="274"/>
      <c r="F9" s="274"/>
      <c r="G9" s="274"/>
      <c r="H9" s="274"/>
      <c r="I9" s="263"/>
      <c r="J9" s="30"/>
      <c r="K9" s="30"/>
      <c r="L9" s="30"/>
      <c r="M9" s="30"/>
      <c r="N9" s="30"/>
      <c r="O9" s="30"/>
      <c r="P9" s="39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47" s="29" customFormat="1" ht="15" customHeight="1" x14ac:dyDescent="0.25">
      <c r="A10" s="38"/>
      <c r="B10" s="269" t="s">
        <v>361</v>
      </c>
      <c r="C10" s="262"/>
      <c r="D10" s="262"/>
      <c r="E10" s="274"/>
      <c r="F10" s="274"/>
      <c r="G10" s="274"/>
      <c r="H10" s="274"/>
      <c r="I10" s="263"/>
      <c r="J10" s="30"/>
      <c r="K10" s="30"/>
      <c r="L10" s="30"/>
      <c r="M10" s="30"/>
      <c r="N10" s="30"/>
      <c r="O10" s="30"/>
      <c r="P10" s="39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47" s="29" customFormat="1" ht="15" customHeight="1" x14ac:dyDescent="0.25">
      <c r="A11" s="38"/>
      <c r="B11" s="280" t="s">
        <v>390</v>
      </c>
      <c r="C11" s="264"/>
      <c r="D11" s="264"/>
      <c r="E11" s="275"/>
      <c r="F11" s="275"/>
      <c r="G11" s="275"/>
      <c r="H11" s="275"/>
      <c r="I11" s="265"/>
      <c r="J11" s="30"/>
      <c r="K11" s="30"/>
      <c r="L11" s="30"/>
      <c r="M11" s="30"/>
      <c r="N11" s="30"/>
      <c r="O11" s="30"/>
      <c r="P11" s="39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47" s="29" customFormat="1" ht="15" customHeight="1" x14ac:dyDescent="0.25">
      <c r="A12" s="38"/>
      <c r="C12" s="30"/>
      <c r="E12" s="30"/>
      <c r="F12" s="30"/>
      <c r="G12" s="30"/>
      <c r="H12" s="30"/>
      <c r="J12" s="30"/>
      <c r="K12" s="30"/>
      <c r="L12" s="30"/>
      <c r="M12" s="30"/>
      <c r="N12" s="30"/>
      <c r="O12" s="30"/>
      <c r="P12" s="39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  <row r="13" spans="1:47" s="29" customFormat="1" ht="15" customHeight="1" x14ac:dyDescent="0.35">
      <c r="A13" s="38"/>
      <c r="B13" s="76" t="s">
        <v>176</v>
      </c>
      <c r="C13" s="30"/>
      <c r="E13" s="30"/>
      <c r="F13" s="30"/>
      <c r="G13" s="30"/>
      <c r="H13" s="30"/>
      <c r="J13" s="30"/>
      <c r="K13" s="30"/>
      <c r="L13" s="30"/>
      <c r="M13" s="30"/>
      <c r="N13" s="30"/>
      <c r="O13" s="30"/>
      <c r="P13" s="39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47" s="29" customFormat="1" ht="15" customHeight="1" x14ac:dyDescent="0.25">
      <c r="A14" s="3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9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47" ht="19.5" customHeight="1" x14ac:dyDescent="0.25">
      <c r="A15" s="38"/>
      <c r="B15" s="45" t="s">
        <v>146</v>
      </c>
      <c r="C15" s="46" t="s">
        <v>149</v>
      </c>
      <c r="D15" s="46" t="s">
        <v>150</v>
      </c>
      <c r="E15" s="46" t="s">
        <v>151</v>
      </c>
      <c r="F15" s="46" t="s">
        <v>152</v>
      </c>
      <c r="G15" s="46" t="s">
        <v>153</v>
      </c>
      <c r="H15" s="46" t="s">
        <v>154</v>
      </c>
      <c r="I15" s="46" t="s">
        <v>155</v>
      </c>
      <c r="J15" s="46" t="s">
        <v>156</v>
      </c>
      <c r="K15" s="46" t="s">
        <v>157</v>
      </c>
      <c r="L15" s="46" t="s">
        <v>158</v>
      </c>
      <c r="M15" s="46" t="s">
        <v>159</v>
      </c>
      <c r="N15" s="46" t="s">
        <v>160</v>
      </c>
      <c r="O15" s="50" t="s">
        <v>20</v>
      </c>
      <c r="P15" s="39"/>
    </row>
    <row r="16" spans="1:47" x14ac:dyDescent="0.25">
      <c r="A16" s="38"/>
      <c r="B16" s="350" t="str">
        <f>IF(ISBLANK(Caractéristiques!C16),"",Caractéristiques!C16)</f>
        <v/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187">
        <f>SUM(C16:N16)</f>
        <v>0</v>
      </c>
      <c r="P16" s="39"/>
    </row>
    <row r="17" spans="1:47" x14ac:dyDescent="0.25">
      <c r="A17" s="38"/>
      <c r="B17" s="351" t="str">
        <f>IF(ISBLANK(Caractéristiques!C17),"",Caractéristiques!C17)</f>
        <v/>
      </c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187">
        <f t="shared" ref="O17:O20" si="0">SUM(C17:N17)</f>
        <v>0</v>
      </c>
      <c r="P17" s="39"/>
    </row>
    <row r="18" spans="1:47" x14ac:dyDescent="0.25">
      <c r="A18" s="38"/>
      <c r="B18" s="351" t="str">
        <f>IF(ISBLANK(Caractéristiques!C18),"",Caractéristiques!C18)</f>
        <v/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187">
        <f t="shared" si="0"/>
        <v>0</v>
      </c>
      <c r="P18" s="39"/>
    </row>
    <row r="19" spans="1:47" x14ac:dyDescent="0.25">
      <c r="A19" s="38"/>
      <c r="B19" s="351" t="str">
        <f>IF(ISBLANK(Caractéristiques!C19),"",Caractéristiques!C19)</f>
        <v/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187">
        <f t="shared" si="0"/>
        <v>0</v>
      </c>
      <c r="P19" s="39"/>
    </row>
    <row r="20" spans="1:47" x14ac:dyDescent="0.25">
      <c r="A20" s="38"/>
      <c r="B20" s="351" t="str">
        <f>IF(ISBLANK(Caractéristiques!C20),"",Caractéristiques!C20)</f>
        <v/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187">
        <f t="shared" si="0"/>
        <v>0</v>
      </c>
      <c r="P20" s="39"/>
    </row>
    <row r="21" spans="1:47" s="28" customFormat="1" ht="18.75" customHeight="1" x14ac:dyDescent="0.25">
      <c r="A21" s="40"/>
      <c r="B21" s="51" t="s">
        <v>170</v>
      </c>
      <c r="C21" s="58">
        <f>SUM(C16:C20)</f>
        <v>0</v>
      </c>
      <c r="D21" s="58">
        <f t="shared" ref="C21:O21" si="1">SUM(D16:D20)</f>
        <v>0</v>
      </c>
      <c r="E21" s="58">
        <f t="shared" si="1"/>
        <v>0</v>
      </c>
      <c r="F21" s="58">
        <f t="shared" si="1"/>
        <v>0</v>
      </c>
      <c r="G21" s="58">
        <f t="shared" si="1"/>
        <v>0</v>
      </c>
      <c r="H21" s="58">
        <f t="shared" si="1"/>
        <v>0</v>
      </c>
      <c r="I21" s="58">
        <f t="shared" si="1"/>
        <v>0</v>
      </c>
      <c r="J21" s="58">
        <f t="shared" si="1"/>
        <v>0</v>
      </c>
      <c r="K21" s="58">
        <f t="shared" si="1"/>
        <v>0</v>
      </c>
      <c r="L21" s="58">
        <f t="shared" si="1"/>
        <v>0</v>
      </c>
      <c r="M21" s="58">
        <f t="shared" si="1"/>
        <v>0</v>
      </c>
      <c r="N21" s="58">
        <f t="shared" si="1"/>
        <v>0</v>
      </c>
      <c r="O21" s="58">
        <f t="shared" si="1"/>
        <v>0</v>
      </c>
      <c r="P21" s="41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</row>
    <row r="22" spans="1:47" s="28" customFormat="1" x14ac:dyDescent="0.2">
      <c r="A22" s="40"/>
      <c r="B22" s="75" t="s">
        <v>184</v>
      </c>
      <c r="C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sociale",Caractéristiques!$C$28,0))*C21)</f>
        <v>0</v>
      </c>
      <c r="D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sociale",Caractéristiques!$C$28,0))*D21)</f>
        <v>0</v>
      </c>
      <c r="E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sociale",Caractéristiques!$C$28,0))*E21)</f>
        <v>0</v>
      </c>
      <c r="F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sociale",Caractéristiques!$C$28,0))*F21)</f>
        <v>0</v>
      </c>
      <c r="G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sociale",Caractéristiques!$C$28,0))*G21)</f>
        <v>0</v>
      </c>
      <c r="H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sociale",Caractéristiques!$C$28,0))*H21)</f>
        <v>0</v>
      </c>
      <c r="I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sociale",Caractéristiques!$C$28,0))*I21)</f>
        <v>0</v>
      </c>
      <c r="J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sociale",Caractéristiques!$C$28,0))*J21)</f>
        <v>0</v>
      </c>
      <c r="K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sociale",Caractéristiques!$C$28,0))*K21)</f>
        <v>0</v>
      </c>
      <c r="L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sociale",Caractéristiques!$C$28,0))*L21)</f>
        <v>0</v>
      </c>
      <c r="M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sociale",Caractéristiques!$C$28,0))*M21)</f>
        <v>0</v>
      </c>
      <c r="N22" s="188">
        <f>IF(AND(Caractéristiques!$C$35="IR",Caractéristiques!$C$25="Sécurité sociale des indépendants (RSI)"),0, IF(Caractéristiques!$C$25="Sécurité sociale des indépendants (RSI)",Caractéristiques!$C$26,IF(Caractéristiques!$C$25="Régime général de la sécurité sociale",Caractéristiques!$C$28,0))*N21)</f>
        <v>0</v>
      </c>
      <c r="O22" s="163">
        <f>IF(Caractéristiques!$C$25="Sécurité sociale des indépendants (RSI)",Caractéristiques!$C$26,IF(Caractéristiques!$C$25="Régime général de la sécurité sociale",Caractéristiques!$C$28,0))*O21</f>
        <v>0</v>
      </c>
      <c r="P22" s="41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</row>
    <row r="23" spans="1:47" s="29" customFormat="1" ht="15" customHeight="1" x14ac:dyDescent="0.25">
      <c r="A23" s="38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9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</row>
    <row r="24" spans="1:47" ht="19.5" customHeight="1" x14ac:dyDescent="0.25">
      <c r="A24" s="38"/>
      <c r="B24" s="45" t="s">
        <v>147</v>
      </c>
      <c r="C24" s="46" t="s">
        <v>149</v>
      </c>
      <c r="D24" s="46" t="s">
        <v>150</v>
      </c>
      <c r="E24" s="46" t="s">
        <v>151</v>
      </c>
      <c r="F24" s="46" t="s">
        <v>152</v>
      </c>
      <c r="G24" s="46" t="s">
        <v>153</v>
      </c>
      <c r="H24" s="46" t="s">
        <v>154</v>
      </c>
      <c r="I24" s="46" t="s">
        <v>155</v>
      </c>
      <c r="J24" s="46" t="s">
        <v>156</v>
      </c>
      <c r="K24" s="46" t="s">
        <v>157</v>
      </c>
      <c r="L24" s="46" t="s">
        <v>158</v>
      </c>
      <c r="M24" s="46" t="s">
        <v>159</v>
      </c>
      <c r="N24" s="46" t="s">
        <v>160</v>
      </c>
      <c r="O24" s="50" t="s">
        <v>20</v>
      </c>
      <c r="P24" s="39"/>
    </row>
    <row r="25" spans="1:47" x14ac:dyDescent="0.25">
      <c r="A25" s="38"/>
      <c r="B25" s="350" t="str">
        <f>IF(ISBLANK(Caractéristiques!C16),"",Caractéristiques!C16)</f>
        <v/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187">
        <f>SUM(C25:N25)</f>
        <v>0</v>
      </c>
      <c r="P25" s="39"/>
    </row>
    <row r="26" spans="1:47" x14ac:dyDescent="0.25">
      <c r="A26" s="38"/>
      <c r="B26" s="351" t="str">
        <f>IF(ISBLANK(Caractéristiques!C17),"",Caractéristiques!C17)</f>
        <v/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187">
        <f t="shared" ref="O26:O29" si="2">SUM(C26:N26)</f>
        <v>0</v>
      </c>
      <c r="P26" s="39"/>
    </row>
    <row r="27" spans="1:47" x14ac:dyDescent="0.25">
      <c r="A27" s="38"/>
      <c r="B27" s="351" t="str">
        <f>IF(ISBLANK(Caractéristiques!C18),"",Caractéristiques!C18)</f>
        <v/>
      </c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187">
        <f t="shared" si="2"/>
        <v>0</v>
      </c>
      <c r="P27" s="39"/>
    </row>
    <row r="28" spans="1:47" x14ac:dyDescent="0.25">
      <c r="A28" s="38"/>
      <c r="B28" s="351" t="str">
        <f>IF(ISBLANK(Caractéristiques!C19),"",Caractéristiques!C19)</f>
        <v/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187">
        <f t="shared" si="2"/>
        <v>0</v>
      </c>
      <c r="P28" s="39"/>
    </row>
    <row r="29" spans="1:47" x14ac:dyDescent="0.25">
      <c r="A29" s="38"/>
      <c r="B29" s="351" t="str">
        <f>IF(ISBLANK(Caractéristiques!C20),"",Caractéristiques!C20)</f>
        <v/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187">
        <f t="shared" si="2"/>
        <v>0</v>
      </c>
      <c r="P29" s="39"/>
    </row>
    <row r="30" spans="1:47" s="28" customFormat="1" ht="18.75" customHeight="1" x14ac:dyDescent="0.25">
      <c r="A30" s="40"/>
      <c r="B30" s="51" t="s">
        <v>170</v>
      </c>
      <c r="C30" s="58">
        <f t="shared" ref="C30:O30" si="3">SUM(C25:C29)</f>
        <v>0</v>
      </c>
      <c r="D30" s="58">
        <f t="shared" si="3"/>
        <v>0</v>
      </c>
      <c r="E30" s="58">
        <f t="shared" si="3"/>
        <v>0</v>
      </c>
      <c r="F30" s="58">
        <f t="shared" si="3"/>
        <v>0</v>
      </c>
      <c r="G30" s="58">
        <f t="shared" si="3"/>
        <v>0</v>
      </c>
      <c r="H30" s="58">
        <f t="shared" si="3"/>
        <v>0</v>
      </c>
      <c r="I30" s="58">
        <f t="shared" si="3"/>
        <v>0</v>
      </c>
      <c r="J30" s="58">
        <f t="shared" si="3"/>
        <v>0</v>
      </c>
      <c r="K30" s="58">
        <f t="shared" si="3"/>
        <v>0</v>
      </c>
      <c r="L30" s="58">
        <f t="shared" si="3"/>
        <v>0</v>
      </c>
      <c r="M30" s="58">
        <f t="shared" si="3"/>
        <v>0</v>
      </c>
      <c r="N30" s="58">
        <f t="shared" si="3"/>
        <v>0</v>
      </c>
      <c r="O30" s="58">
        <f t="shared" si="3"/>
        <v>0</v>
      </c>
      <c r="P30" s="41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</row>
    <row r="31" spans="1:47" s="28" customFormat="1" x14ac:dyDescent="0.2">
      <c r="A31" s="40"/>
      <c r="B31" s="75" t="s">
        <v>184</v>
      </c>
      <c r="C31" s="188">
        <f>IF(Caractéristiques!$C$25="Sécurité sociale des indépendants (RSI)",Caractéristiques!$C$26,IF(Caractéristiques!$C$25="Régime général de la sécurité sociale",Caractéristiques!$C$28,0))*C30</f>
        <v>0</v>
      </c>
      <c r="D31" s="188">
        <f>IF(Caractéristiques!$C$25="Sécurité sociale des indépendants (RSI)",Caractéristiques!$C$26,IF(Caractéristiques!$C$25="Régime général de la sécurité sociale",Caractéristiques!$C$28,0))*D30</f>
        <v>0</v>
      </c>
      <c r="E31" s="188">
        <f>IF(Caractéristiques!$C$25="Sécurité sociale des indépendants (RSI)",Caractéristiques!$C$26,IF(Caractéristiques!$C$25="Régime général de la sécurité sociale",Caractéristiques!$C$28,0))*E30</f>
        <v>0</v>
      </c>
      <c r="F31" s="188">
        <f>IF(Caractéristiques!$C$25="Sécurité sociale des indépendants (RSI)",Caractéristiques!$C$26,IF(Caractéristiques!$C$25="Régime général de la sécurité sociale",Caractéristiques!$C$28,0))*F30</f>
        <v>0</v>
      </c>
      <c r="G31" s="188">
        <f>IF(Caractéristiques!$C$25="Sécurité sociale des indépendants (RSI)",Caractéristiques!$C$26,IF(Caractéristiques!$C$25="Régime général de la sécurité sociale",Caractéristiques!$C$28,0))*G30</f>
        <v>0</v>
      </c>
      <c r="H31" s="188">
        <f>IF(Caractéristiques!$C$25="Sécurité sociale des indépendants (RSI)",Caractéristiques!$C$26,IF(Caractéristiques!$C$25="Régime général de la sécurité sociale",Caractéristiques!$C$28,0))*H30</f>
        <v>0</v>
      </c>
      <c r="I31" s="188">
        <f>IF(Caractéristiques!$C$25="Sécurité sociale des indépendants (RSI)",Caractéristiques!$C$26,IF(Caractéristiques!$C$25="Régime général de la sécurité sociale",Caractéristiques!$C$28,0))*I30</f>
        <v>0</v>
      </c>
      <c r="J31" s="188">
        <f>IF(Caractéristiques!$C$25="Sécurité sociale des indépendants (RSI)",Caractéristiques!$C$26,IF(Caractéristiques!$C$25="Régime général de la sécurité sociale",Caractéristiques!$C$28,0))*J30</f>
        <v>0</v>
      </c>
      <c r="K31" s="188">
        <f>IF(Caractéristiques!$C$25="Sécurité sociale des indépendants (RSI)",Caractéristiques!$C$26,IF(Caractéristiques!$C$25="Régime général de la sécurité sociale",Caractéristiques!$C$28,0))*K30</f>
        <v>0</v>
      </c>
      <c r="L31" s="188">
        <f>IF(Caractéristiques!$C$25="Sécurité sociale des indépendants (RSI)",Caractéristiques!$C$26,IF(Caractéristiques!$C$25="Régime général de la sécurité sociale",Caractéristiques!$C$28,0))*L30</f>
        <v>0</v>
      </c>
      <c r="M31" s="188">
        <f>IF(Caractéristiques!$C$25="Sécurité sociale des indépendants (RSI)",Caractéristiques!$C$26,IF(Caractéristiques!$C$25="Régime général de la sécurité sociale",Caractéristiques!$C$28,0))*M30</f>
        <v>0</v>
      </c>
      <c r="N31" s="188">
        <f>IF(Caractéristiques!$C$25="Sécurité sociale des indépendants (RSI)",Caractéristiques!$C$26,IF(Caractéristiques!$C$25="Régime général de la sécurité sociale",Caractéristiques!$C$28,0))*N30</f>
        <v>0</v>
      </c>
      <c r="O31" s="163">
        <f>IF(Caractéristiques!$C$25="Sécurité sociale des indépendants (RSI)",Caractéristiques!$C$26,IF(Caractéristiques!$C$25="Régime général de la sécurité sociale",Caractéristiques!$C$28,0))*O30</f>
        <v>0</v>
      </c>
      <c r="P31" s="41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</row>
    <row r="32" spans="1:47" s="29" customFormat="1" ht="15" customHeight="1" x14ac:dyDescent="0.25">
      <c r="A32" s="3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</row>
    <row r="33" spans="1:47" ht="19.5" customHeight="1" x14ac:dyDescent="0.25">
      <c r="A33" s="38"/>
      <c r="B33" s="45" t="s">
        <v>148</v>
      </c>
      <c r="C33" s="46" t="s">
        <v>149</v>
      </c>
      <c r="D33" s="46" t="s">
        <v>150</v>
      </c>
      <c r="E33" s="46" t="s">
        <v>151</v>
      </c>
      <c r="F33" s="46" t="s">
        <v>152</v>
      </c>
      <c r="G33" s="46" t="s">
        <v>153</v>
      </c>
      <c r="H33" s="46" t="s">
        <v>154</v>
      </c>
      <c r="I33" s="46" t="s">
        <v>155</v>
      </c>
      <c r="J33" s="46" t="s">
        <v>156</v>
      </c>
      <c r="K33" s="46" t="s">
        <v>157</v>
      </c>
      <c r="L33" s="46" t="s">
        <v>158</v>
      </c>
      <c r="M33" s="46" t="s">
        <v>159</v>
      </c>
      <c r="N33" s="46" t="s">
        <v>160</v>
      </c>
      <c r="O33" s="152" t="s">
        <v>20</v>
      </c>
      <c r="P33" s="39"/>
    </row>
    <row r="34" spans="1:47" x14ac:dyDescent="0.25">
      <c r="A34" s="38"/>
      <c r="B34" s="350" t="str">
        <f>IF(ISBLANK(Caractéristiques!C16),"",Caractéristiques!C16)</f>
        <v/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187">
        <f>SUM(C34:N34)</f>
        <v>0</v>
      </c>
      <c r="P34" s="39"/>
    </row>
    <row r="35" spans="1:47" x14ac:dyDescent="0.25">
      <c r="A35" s="38"/>
      <c r="B35" s="350" t="str">
        <f>IF(ISBLANK(Caractéristiques!C17),"",Caractéristiques!C17)</f>
        <v/>
      </c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187">
        <f t="shared" ref="O35:O38" si="4">SUM(C35:N35)</f>
        <v>0</v>
      </c>
      <c r="P35" s="39"/>
    </row>
    <row r="36" spans="1:47" x14ac:dyDescent="0.25">
      <c r="A36" s="38"/>
      <c r="B36" s="350" t="str">
        <f>IF(ISBLANK(Caractéristiques!C18),"",Caractéristiques!C18)</f>
        <v/>
      </c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187">
        <f t="shared" si="4"/>
        <v>0</v>
      </c>
      <c r="P36" s="39"/>
    </row>
    <row r="37" spans="1:47" x14ac:dyDescent="0.25">
      <c r="A37" s="38"/>
      <c r="B37" s="350" t="str">
        <f>IF(ISBLANK(Caractéristiques!C19),"",Caractéristiques!C19)</f>
        <v/>
      </c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187">
        <f t="shared" si="4"/>
        <v>0</v>
      </c>
      <c r="P37" s="39"/>
    </row>
    <row r="38" spans="1:47" x14ac:dyDescent="0.25">
      <c r="A38" s="38"/>
      <c r="B38" s="350" t="str">
        <f>IF(ISBLANK(Caractéristiques!C20),"",Caractéristiques!C20)</f>
        <v/>
      </c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187">
        <f t="shared" si="4"/>
        <v>0</v>
      </c>
      <c r="P38" s="39"/>
    </row>
    <row r="39" spans="1:47" s="28" customFormat="1" x14ac:dyDescent="0.25">
      <c r="A39" s="40"/>
      <c r="B39" s="51" t="s">
        <v>170</v>
      </c>
      <c r="C39" s="58">
        <f t="shared" ref="C39:O39" si="5">SUM(C34:C38)</f>
        <v>0</v>
      </c>
      <c r="D39" s="58">
        <f t="shared" si="5"/>
        <v>0</v>
      </c>
      <c r="E39" s="58">
        <f t="shared" si="5"/>
        <v>0</v>
      </c>
      <c r="F39" s="58">
        <f t="shared" si="5"/>
        <v>0</v>
      </c>
      <c r="G39" s="58">
        <f t="shared" si="5"/>
        <v>0</v>
      </c>
      <c r="H39" s="58">
        <f t="shared" si="5"/>
        <v>0</v>
      </c>
      <c r="I39" s="58">
        <f t="shared" si="5"/>
        <v>0</v>
      </c>
      <c r="J39" s="58">
        <f t="shared" si="5"/>
        <v>0</v>
      </c>
      <c r="K39" s="58">
        <f t="shared" si="5"/>
        <v>0</v>
      </c>
      <c r="L39" s="58">
        <f t="shared" si="5"/>
        <v>0</v>
      </c>
      <c r="M39" s="58">
        <f t="shared" si="5"/>
        <v>0</v>
      </c>
      <c r="N39" s="58">
        <f t="shared" si="5"/>
        <v>0</v>
      </c>
      <c r="O39" s="58">
        <f t="shared" si="5"/>
        <v>0</v>
      </c>
      <c r="P39" s="41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</row>
    <row r="40" spans="1:47" s="28" customFormat="1" x14ac:dyDescent="0.2">
      <c r="A40" s="40"/>
      <c r="B40" s="75" t="s">
        <v>184</v>
      </c>
      <c r="C40" s="188">
        <f>IF(Caractéristiques!$C$25="Sécurité sociale des indépendants (RSI)",Caractéristiques!$C$26,IF(Caractéristiques!$C$25="Régime général de la sécurité sociale",Caractéristiques!$C$28,0))*C39</f>
        <v>0</v>
      </c>
      <c r="D40" s="188">
        <f>IF(Caractéristiques!$C$25="Sécurité sociale des indépendants (RSI)",Caractéristiques!$C$26,IF(Caractéristiques!$C$25="Régime général de la sécurité sociale",Caractéristiques!$C$28,0))*D39</f>
        <v>0</v>
      </c>
      <c r="E40" s="188">
        <f>IF(Caractéristiques!$C$25="Sécurité sociale des indépendants (RSI)",Caractéristiques!$C$26,IF(Caractéristiques!$C$25="Régime général de la sécurité sociale",Caractéristiques!$C$28,0))*E39</f>
        <v>0</v>
      </c>
      <c r="F40" s="188">
        <f>IF(Caractéristiques!$C$25="Sécurité sociale des indépendants (RSI)",Caractéristiques!$C$26,IF(Caractéristiques!$C$25="Régime général de la sécurité sociale",Caractéristiques!$C$28,0))*F39</f>
        <v>0</v>
      </c>
      <c r="G40" s="188">
        <f>IF(Caractéristiques!$C$25="Sécurité sociale des indépendants (RSI)",Caractéristiques!$C$26,IF(Caractéristiques!$C$25="Régime général de la sécurité sociale",Caractéristiques!$C$28,0))*G39</f>
        <v>0</v>
      </c>
      <c r="H40" s="188">
        <f>IF(Caractéristiques!$C$25="Sécurité sociale des indépendants (RSI)",Caractéristiques!$C$26,IF(Caractéristiques!$C$25="Régime général de la sécurité sociale",Caractéristiques!$C$28,0))*H39</f>
        <v>0</v>
      </c>
      <c r="I40" s="188">
        <f>IF(Caractéristiques!$C$25="Sécurité sociale des indépendants (RSI)",Caractéristiques!$C$26,IF(Caractéristiques!$C$25="Régime général de la sécurité sociale",Caractéristiques!$C$28,0))*I39</f>
        <v>0</v>
      </c>
      <c r="J40" s="188">
        <f>IF(Caractéristiques!$C$25="Sécurité sociale des indépendants (RSI)",Caractéristiques!$C$26,IF(Caractéristiques!$C$25="Régime général de la sécurité sociale",Caractéristiques!$C$28,0))*J39</f>
        <v>0</v>
      </c>
      <c r="K40" s="188">
        <f>IF(Caractéristiques!$C$25="Sécurité sociale des indépendants (RSI)",Caractéristiques!$C$26,IF(Caractéristiques!$C$25="Régime général de la sécurité sociale",Caractéristiques!$C$28,0))*K39</f>
        <v>0</v>
      </c>
      <c r="L40" s="188">
        <f>IF(Caractéristiques!$C$25="Sécurité sociale des indépendants (RSI)",Caractéristiques!$C$26,IF(Caractéristiques!$C$25="Régime général de la sécurité sociale",Caractéristiques!$C$28,0))*L39</f>
        <v>0</v>
      </c>
      <c r="M40" s="188">
        <f>IF(Caractéristiques!$C$25="Sécurité sociale des indépendants (RSI)",Caractéristiques!$C$26,IF(Caractéristiques!$C$25="Régime général de la sécurité sociale",Caractéristiques!$C$28,0))*M39</f>
        <v>0</v>
      </c>
      <c r="N40" s="188">
        <f>IF(Caractéristiques!$C$25="Sécurité sociale des indépendants (RSI)",Caractéristiques!$C$26,IF(Caractéristiques!$C$25="Régime général de la sécurité sociale",Caractéristiques!$C$28,0))*N39</f>
        <v>0</v>
      </c>
      <c r="O40" s="163">
        <f>IF(Caractéristiques!$C$25="Sécurité sociale des indépendants (RSI)",Caractéristiques!$C$26,IF(Caractéristiques!$C$25="Régime général de la sécurité sociale",Caractéristiques!$C$28,0))*O39</f>
        <v>0</v>
      </c>
      <c r="P40" s="41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</row>
    <row r="41" spans="1:47" s="29" customFormat="1" ht="15" customHeight="1" x14ac:dyDescent="0.25">
      <c r="A41" s="38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9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</row>
    <row r="42" spans="1:47" s="29" customFormat="1" ht="15" customHeight="1" x14ac:dyDescent="0.35">
      <c r="A42" s="38"/>
      <c r="B42" s="76" t="s">
        <v>177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9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1:47" s="29" customFormat="1" ht="15" customHeight="1" x14ac:dyDescent="0.25">
      <c r="A43" s="38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9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1:47" ht="19.5" customHeight="1" x14ac:dyDescent="0.25">
      <c r="A44" s="38"/>
      <c r="B44" s="45" t="s">
        <v>146</v>
      </c>
      <c r="C44" s="46" t="s">
        <v>149</v>
      </c>
      <c r="D44" s="46" t="s">
        <v>150</v>
      </c>
      <c r="E44" s="46" t="s">
        <v>151</v>
      </c>
      <c r="F44" s="46" t="s">
        <v>152</v>
      </c>
      <c r="G44" s="46" t="s">
        <v>153</v>
      </c>
      <c r="H44" s="46" t="s">
        <v>154</v>
      </c>
      <c r="I44" s="46" t="s">
        <v>155</v>
      </c>
      <c r="J44" s="46" t="s">
        <v>156</v>
      </c>
      <c r="K44" s="46" t="s">
        <v>157</v>
      </c>
      <c r="L44" s="46" t="s">
        <v>158</v>
      </c>
      <c r="M44" s="46" t="s">
        <v>159</v>
      </c>
      <c r="N44" s="46" t="s">
        <v>160</v>
      </c>
      <c r="O44" s="50" t="s">
        <v>20</v>
      </c>
      <c r="P44" s="39"/>
    </row>
    <row r="45" spans="1:47" x14ac:dyDescent="0.25">
      <c r="A45" s="38"/>
      <c r="B45" s="293" t="s">
        <v>48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187">
        <f>SUM(C45:N45)</f>
        <v>0</v>
      </c>
      <c r="P45" s="39"/>
    </row>
    <row r="46" spans="1:47" x14ac:dyDescent="0.25">
      <c r="A46" s="38"/>
      <c r="B46" s="293" t="s">
        <v>49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187">
        <f t="shared" ref="O46:O48" si="6">SUM(C46:N46)</f>
        <v>0</v>
      </c>
      <c r="P46" s="39"/>
    </row>
    <row r="47" spans="1:47" x14ac:dyDescent="0.25">
      <c r="A47" s="38"/>
      <c r="B47" s="293" t="s">
        <v>131</v>
      </c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187">
        <f t="shared" si="6"/>
        <v>0</v>
      </c>
      <c r="P47" s="39"/>
    </row>
    <row r="48" spans="1:47" x14ac:dyDescent="0.25">
      <c r="A48" s="38"/>
      <c r="B48" s="293" t="s">
        <v>131</v>
      </c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187">
        <f t="shared" si="6"/>
        <v>0</v>
      </c>
      <c r="P48" s="39"/>
    </row>
    <row r="49" spans="1:47" x14ac:dyDescent="0.25">
      <c r="A49" s="38"/>
      <c r="B49" s="293" t="s">
        <v>131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187">
        <f t="shared" ref="O49:O54" si="7">SUM(C49:N49)</f>
        <v>0</v>
      </c>
      <c r="P49" s="39"/>
    </row>
    <row r="50" spans="1:47" x14ac:dyDescent="0.25">
      <c r="A50" s="38"/>
      <c r="B50" s="293" t="s">
        <v>131</v>
      </c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187">
        <f t="shared" si="7"/>
        <v>0</v>
      </c>
      <c r="P50" s="39"/>
    </row>
    <row r="51" spans="1:47" x14ac:dyDescent="0.25">
      <c r="A51" s="38"/>
      <c r="B51" s="293" t="s">
        <v>131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187">
        <f t="shared" si="7"/>
        <v>0</v>
      </c>
      <c r="P51" s="39"/>
    </row>
    <row r="52" spans="1:47" x14ac:dyDescent="0.25">
      <c r="A52" s="38"/>
      <c r="B52" s="293" t="s">
        <v>131</v>
      </c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187">
        <f t="shared" si="7"/>
        <v>0</v>
      </c>
      <c r="P52" s="39"/>
    </row>
    <row r="53" spans="1:47" x14ac:dyDescent="0.25">
      <c r="A53" s="38"/>
      <c r="B53" s="293" t="s">
        <v>131</v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187">
        <f t="shared" si="7"/>
        <v>0</v>
      </c>
      <c r="P53" s="39"/>
    </row>
    <row r="54" spans="1:47" x14ac:dyDescent="0.25">
      <c r="A54" s="38"/>
      <c r="B54" s="293" t="s">
        <v>131</v>
      </c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187">
        <f t="shared" si="7"/>
        <v>0</v>
      </c>
      <c r="P54" s="39"/>
    </row>
    <row r="55" spans="1:47" s="28" customFormat="1" x14ac:dyDescent="0.25">
      <c r="A55" s="40"/>
      <c r="B55" s="51" t="s">
        <v>180</v>
      </c>
      <c r="C55" s="58">
        <f t="shared" ref="C55:O55" si="8">SUM(C45:C54)</f>
        <v>0</v>
      </c>
      <c r="D55" s="58">
        <f t="shared" si="8"/>
        <v>0</v>
      </c>
      <c r="E55" s="58">
        <f t="shared" si="8"/>
        <v>0</v>
      </c>
      <c r="F55" s="58">
        <f t="shared" si="8"/>
        <v>0</v>
      </c>
      <c r="G55" s="58">
        <f t="shared" si="8"/>
        <v>0</v>
      </c>
      <c r="H55" s="58">
        <f t="shared" si="8"/>
        <v>0</v>
      </c>
      <c r="I55" s="58">
        <f t="shared" si="8"/>
        <v>0</v>
      </c>
      <c r="J55" s="58">
        <f t="shared" si="8"/>
        <v>0</v>
      </c>
      <c r="K55" s="58">
        <f t="shared" si="8"/>
        <v>0</v>
      </c>
      <c r="L55" s="58">
        <f t="shared" si="8"/>
        <v>0</v>
      </c>
      <c r="M55" s="58">
        <f t="shared" si="8"/>
        <v>0</v>
      </c>
      <c r="N55" s="58">
        <f t="shared" si="8"/>
        <v>0</v>
      </c>
      <c r="O55" s="58">
        <f t="shared" si="8"/>
        <v>0</v>
      </c>
      <c r="P55" s="41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</row>
    <row r="56" spans="1:47" s="28" customFormat="1" x14ac:dyDescent="0.2">
      <c r="A56" s="40"/>
      <c r="B56" s="75" t="s">
        <v>182</v>
      </c>
      <c r="C56" s="188">
        <f>C55*Caractéristiques!$C$30</f>
        <v>0</v>
      </c>
      <c r="D56" s="188">
        <f>D55*Caractéristiques!$C$30</f>
        <v>0</v>
      </c>
      <c r="E56" s="188">
        <f>E55*Caractéristiques!$C$30</f>
        <v>0</v>
      </c>
      <c r="F56" s="188">
        <f>F55*Caractéristiques!$C$30</f>
        <v>0</v>
      </c>
      <c r="G56" s="188">
        <f>G55*Caractéristiques!$C$30</f>
        <v>0</v>
      </c>
      <c r="H56" s="188">
        <f>H55*Caractéristiques!$C$30</f>
        <v>0</v>
      </c>
      <c r="I56" s="188">
        <f>I55*Caractéristiques!$C$30</f>
        <v>0</v>
      </c>
      <c r="J56" s="188">
        <f>J55*Caractéristiques!$C$30</f>
        <v>0</v>
      </c>
      <c r="K56" s="188">
        <f>K55*Caractéristiques!$C$30</f>
        <v>0</v>
      </c>
      <c r="L56" s="188">
        <f>L55*Caractéristiques!$C$30</f>
        <v>0</v>
      </c>
      <c r="M56" s="188">
        <f>M55*Caractéristiques!$C$30</f>
        <v>0</v>
      </c>
      <c r="N56" s="188">
        <f>N55*Caractéristiques!$C$30</f>
        <v>0</v>
      </c>
      <c r="O56" s="163">
        <f>SUM(C56:N56)</f>
        <v>0</v>
      </c>
      <c r="P56" s="41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</row>
    <row r="57" spans="1:47" s="28" customFormat="1" x14ac:dyDescent="0.2">
      <c r="A57" s="40"/>
      <c r="B57" s="75" t="s">
        <v>183</v>
      </c>
      <c r="C57" s="188">
        <f>C55*Caractéristiques!$C$29</f>
        <v>0</v>
      </c>
      <c r="D57" s="188">
        <f>D55*Caractéristiques!$C$29</f>
        <v>0</v>
      </c>
      <c r="E57" s="188">
        <f>E55*Caractéristiques!$C$29</f>
        <v>0</v>
      </c>
      <c r="F57" s="188">
        <f>F55*Caractéristiques!$C$29</f>
        <v>0</v>
      </c>
      <c r="G57" s="188">
        <f>G55*Caractéristiques!$C$29</f>
        <v>0</v>
      </c>
      <c r="H57" s="188">
        <f>H55*Caractéristiques!$C$29</f>
        <v>0</v>
      </c>
      <c r="I57" s="188">
        <f>I55*Caractéristiques!$C$29</f>
        <v>0</v>
      </c>
      <c r="J57" s="188">
        <f>J55*Caractéristiques!$C$29</f>
        <v>0</v>
      </c>
      <c r="K57" s="188">
        <f>K55*Caractéristiques!$C$29</f>
        <v>0</v>
      </c>
      <c r="L57" s="188">
        <f>L55*Caractéristiques!$C$29</f>
        <v>0</v>
      </c>
      <c r="M57" s="188">
        <f>M55*Caractéristiques!$C$29</f>
        <v>0</v>
      </c>
      <c r="N57" s="188">
        <f>N55*Caractéristiques!$C$29</f>
        <v>0</v>
      </c>
      <c r="O57" s="163">
        <f>SUM(C57:N57)</f>
        <v>0</v>
      </c>
      <c r="P57" s="41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</row>
    <row r="58" spans="1:47" x14ac:dyDescent="0.25">
      <c r="A58" s="38"/>
      <c r="B58" s="48" t="s">
        <v>181</v>
      </c>
      <c r="C58" s="188">
        <f>C56+C57</f>
        <v>0</v>
      </c>
      <c r="D58" s="188">
        <f t="shared" ref="D58" si="9">D56+D57</f>
        <v>0</v>
      </c>
      <c r="E58" s="188">
        <f t="shared" ref="E58" si="10">E56+E57</f>
        <v>0</v>
      </c>
      <c r="F58" s="188">
        <f t="shared" ref="F58" si="11">F56+F57</f>
        <v>0</v>
      </c>
      <c r="G58" s="188">
        <f t="shared" ref="G58" si="12">G56+G57</f>
        <v>0</v>
      </c>
      <c r="H58" s="188">
        <f t="shared" ref="H58" si="13">H56+H57</f>
        <v>0</v>
      </c>
      <c r="I58" s="188">
        <f t="shared" ref="I58" si="14">I56+I57</f>
        <v>0</v>
      </c>
      <c r="J58" s="188">
        <f t="shared" ref="J58" si="15">J56+J57</f>
        <v>0</v>
      </c>
      <c r="K58" s="188">
        <f t="shared" ref="K58" si="16">K56+K57</f>
        <v>0</v>
      </c>
      <c r="L58" s="188">
        <f t="shared" ref="L58" si="17">L56+L57</f>
        <v>0</v>
      </c>
      <c r="M58" s="188">
        <f t="shared" ref="M58" si="18">M56+M57</f>
        <v>0</v>
      </c>
      <c r="N58" s="188">
        <f t="shared" ref="N58" si="19">N56+N57</f>
        <v>0</v>
      </c>
      <c r="O58" s="163">
        <f>SUM(C58:N58)</f>
        <v>0</v>
      </c>
      <c r="P58" s="39"/>
    </row>
    <row r="59" spans="1:47" s="29" customFormat="1" ht="15" customHeight="1" x14ac:dyDescent="0.25">
      <c r="A59" s="38"/>
      <c r="B59" s="51" t="s">
        <v>171</v>
      </c>
      <c r="C59" s="58">
        <f>C55-C57</f>
        <v>0</v>
      </c>
      <c r="D59" s="58">
        <f t="shared" ref="D59:O59" si="20">D55-D57</f>
        <v>0</v>
      </c>
      <c r="E59" s="58">
        <f t="shared" si="20"/>
        <v>0</v>
      </c>
      <c r="F59" s="58">
        <f t="shared" si="20"/>
        <v>0</v>
      </c>
      <c r="G59" s="58">
        <f t="shared" si="20"/>
        <v>0</v>
      </c>
      <c r="H59" s="58">
        <f t="shared" si="20"/>
        <v>0</v>
      </c>
      <c r="I59" s="58">
        <f t="shared" si="20"/>
        <v>0</v>
      </c>
      <c r="J59" s="58">
        <f t="shared" si="20"/>
        <v>0</v>
      </c>
      <c r="K59" s="58">
        <f t="shared" si="20"/>
        <v>0</v>
      </c>
      <c r="L59" s="58">
        <f t="shared" si="20"/>
        <v>0</v>
      </c>
      <c r="M59" s="58">
        <f t="shared" si="20"/>
        <v>0</v>
      </c>
      <c r="N59" s="58">
        <f t="shared" si="20"/>
        <v>0</v>
      </c>
      <c r="O59" s="58">
        <f t="shared" si="20"/>
        <v>0</v>
      </c>
      <c r="P59" s="3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</row>
    <row r="60" spans="1:47" s="29" customFormat="1" ht="15" customHeight="1" x14ac:dyDescent="0.25">
      <c r="A60" s="38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9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</row>
    <row r="61" spans="1:47" ht="19.5" customHeight="1" x14ac:dyDescent="0.25">
      <c r="A61" s="38"/>
      <c r="B61" s="45" t="s">
        <v>147</v>
      </c>
      <c r="C61" s="46" t="s">
        <v>149</v>
      </c>
      <c r="D61" s="46" t="s">
        <v>150</v>
      </c>
      <c r="E61" s="46" t="s">
        <v>151</v>
      </c>
      <c r="F61" s="46" t="s">
        <v>152</v>
      </c>
      <c r="G61" s="46" t="s">
        <v>153</v>
      </c>
      <c r="H61" s="46" t="s">
        <v>154</v>
      </c>
      <c r="I61" s="46" t="s">
        <v>155</v>
      </c>
      <c r="J61" s="46" t="s">
        <v>156</v>
      </c>
      <c r="K61" s="46" t="s">
        <v>157</v>
      </c>
      <c r="L61" s="46" t="s">
        <v>158</v>
      </c>
      <c r="M61" s="46" t="s">
        <v>159</v>
      </c>
      <c r="N61" s="46" t="s">
        <v>160</v>
      </c>
      <c r="O61" s="50" t="s">
        <v>20</v>
      </c>
      <c r="P61" s="39"/>
    </row>
    <row r="62" spans="1:47" x14ac:dyDescent="0.25">
      <c r="A62" s="38"/>
      <c r="B62" s="293" t="s">
        <v>48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187">
        <f>SUM(C62:N62)</f>
        <v>0</v>
      </c>
      <c r="P62" s="39"/>
    </row>
    <row r="63" spans="1:47" x14ac:dyDescent="0.25">
      <c r="A63" s="38"/>
      <c r="B63" s="293" t="s">
        <v>49</v>
      </c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187">
        <f t="shared" ref="O63:O65" si="21">SUM(C63:N63)</f>
        <v>0</v>
      </c>
      <c r="P63" s="39"/>
    </row>
    <row r="64" spans="1:47" x14ac:dyDescent="0.25">
      <c r="A64" s="38"/>
      <c r="B64" s="293" t="s">
        <v>131</v>
      </c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187">
        <f t="shared" si="21"/>
        <v>0</v>
      </c>
      <c r="P64" s="39"/>
    </row>
    <row r="65" spans="1:47" x14ac:dyDescent="0.25">
      <c r="A65" s="38"/>
      <c r="B65" s="293" t="s">
        <v>131</v>
      </c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187">
        <f t="shared" si="21"/>
        <v>0</v>
      </c>
      <c r="P65" s="39"/>
    </row>
    <row r="66" spans="1:47" x14ac:dyDescent="0.25">
      <c r="A66" s="38"/>
      <c r="B66" s="293" t="s">
        <v>131</v>
      </c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187">
        <f t="shared" ref="O66:O71" si="22">SUM(C66:N66)</f>
        <v>0</v>
      </c>
      <c r="P66" s="39"/>
    </row>
    <row r="67" spans="1:47" x14ac:dyDescent="0.25">
      <c r="A67" s="38"/>
      <c r="B67" s="293" t="s">
        <v>131</v>
      </c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187">
        <f t="shared" si="22"/>
        <v>0</v>
      </c>
      <c r="P67" s="39"/>
    </row>
    <row r="68" spans="1:47" x14ac:dyDescent="0.25">
      <c r="A68" s="38"/>
      <c r="B68" s="293" t="s">
        <v>131</v>
      </c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187">
        <f t="shared" si="22"/>
        <v>0</v>
      </c>
      <c r="P68" s="39"/>
    </row>
    <row r="69" spans="1:47" x14ac:dyDescent="0.25">
      <c r="A69" s="38"/>
      <c r="B69" s="293" t="s">
        <v>131</v>
      </c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187">
        <f t="shared" si="22"/>
        <v>0</v>
      </c>
      <c r="P69" s="39"/>
    </row>
    <row r="70" spans="1:47" x14ac:dyDescent="0.25">
      <c r="A70" s="38"/>
      <c r="B70" s="293" t="s">
        <v>131</v>
      </c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187">
        <f t="shared" si="22"/>
        <v>0</v>
      </c>
      <c r="P70" s="39"/>
    </row>
    <row r="71" spans="1:47" x14ac:dyDescent="0.25">
      <c r="A71" s="38"/>
      <c r="B71" s="293" t="s">
        <v>131</v>
      </c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187">
        <f t="shared" si="22"/>
        <v>0</v>
      </c>
      <c r="P71" s="39"/>
    </row>
    <row r="72" spans="1:47" s="28" customFormat="1" x14ac:dyDescent="0.25">
      <c r="A72" s="40"/>
      <c r="B72" s="51" t="s">
        <v>180</v>
      </c>
      <c r="C72" s="58">
        <f t="shared" ref="C72:O72" si="23">SUM(C62:C71)</f>
        <v>0</v>
      </c>
      <c r="D72" s="58">
        <f t="shared" si="23"/>
        <v>0</v>
      </c>
      <c r="E72" s="58">
        <f t="shared" si="23"/>
        <v>0</v>
      </c>
      <c r="F72" s="58">
        <f t="shared" si="23"/>
        <v>0</v>
      </c>
      <c r="G72" s="58">
        <f t="shared" si="23"/>
        <v>0</v>
      </c>
      <c r="H72" s="58">
        <f t="shared" si="23"/>
        <v>0</v>
      </c>
      <c r="I72" s="58">
        <f t="shared" si="23"/>
        <v>0</v>
      </c>
      <c r="J72" s="58">
        <f t="shared" si="23"/>
        <v>0</v>
      </c>
      <c r="K72" s="58">
        <f t="shared" si="23"/>
        <v>0</v>
      </c>
      <c r="L72" s="58">
        <f t="shared" si="23"/>
        <v>0</v>
      </c>
      <c r="M72" s="58">
        <f t="shared" si="23"/>
        <v>0</v>
      </c>
      <c r="N72" s="58">
        <f t="shared" si="23"/>
        <v>0</v>
      </c>
      <c r="O72" s="58">
        <f t="shared" si="23"/>
        <v>0</v>
      </c>
      <c r="P72" s="41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</row>
    <row r="73" spans="1:47" s="28" customFormat="1" x14ac:dyDescent="0.2">
      <c r="A73" s="40"/>
      <c r="B73" s="75" t="s">
        <v>182</v>
      </c>
      <c r="C73" s="188">
        <f>C72*Caractéristiques!$C$30</f>
        <v>0</v>
      </c>
      <c r="D73" s="188">
        <f>D72*Caractéristiques!$C$30</f>
        <v>0</v>
      </c>
      <c r="E73" s="188">
        <f>E72*Caractéristiques!$C$30</f>
        <v>0</v>
      </c>
      <c r="F73" s="188">
        <f>F72*Caractéristiques!$C$30</f>
        <v>0</v>
      </c>
      <c r="G73" s="188">
        <f>G72*Caractéristiques!$C$30</f>
        <v>0</v>
      </c>
      <c r="H73" s="188">
        <f>H72*Caractéristiques!$C$30</f>
        <v>0</v>
      </c>
      <c r="I73" s="188">
        <f>I72*Caractéristiques!$C$30</f>
        <v>0</v>
      </c>
      <c r="J73" s="188">
        <f>J72*Caractéristiques!$C$30</f>
        <v>0</v>
      </c>
      <c r="K73" s="188">
        <f>K72*Caractéristiques!$C$30</f>
        <v>0</v>
      </c>
      <c r="L73" s="188">
        <f>L72*Caractéristiques!$C$30</f>
        <v>0</v>
      </c>
      <c r="M73" s="188">
        <f>M72*Caractéristiques!$C$30</f>
        <v>0</v>
      </c>
      <c r="N73" s="188">
        <f>N72*Caractéristiques!$C$30</f>
        <v>0</v>
      </c>
      <c r="O73" s="163">
        <f>SUM(C73:N73)</f>
        <v>0</v>
      </c>
      <c r="P73" s="41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</row>
    <row r="74" spans="1:47" s="28" customFormat="1" x14ac:dyDescent="0.2">
      <c r="A74" s="40"/>
      <c r="B74" s="75" t="s">
        <v>183</v>
      </c>
      <c r="C74" s="188">
        <f>C72*Caractéristiques!$C$29</f>
        <v>0</v>
      </c>
      <c r="D74" s="188">
        <f>D72*Caractéristiques!$C$29</f>
        <v>0</v>
      </c>
      <c r="E74" s="188">
        <f>E72*Caractéristiques!$C$29</f>
        <v>0</v>
      </c>
      <c r="F74" s="188">
        <f>F72*Caractéristiques!$C$29</f>
        <v>0</v>
      </c>
      <c r="G74" s="188">
        <f>G72*Caractéristiques!$C$29</f>
        <v>0</v>
      </c>
      <c r="H74" s="188">
        <f>H72*Caractéristiques!$C$29</f>
        <v>0</v>
      </c>
      <c r="I74" s="188">
        <f>I72*Caractéristiques!$C$29</f>
        <v>0</v>
      </c>
      <c r="J74" s="188">
        <f>J72*Caractéristiques!$C$29</f>
        <v>0</v>
      </c>
      <c r="K74" s="188">
        <f>K72*Caractéristiques!$C$29</f>
        <v>0</v>
      </c>
      <c r="L74" s="188">
        <f>L72*Caractéristiques!$C$29</f>
        <v>0</v>
      </c>
      <c r="M74" s="188">
        <f>M72*Caractéristiques!$C$29</f>
        <v>0</v>
      </c>
      <c r="N74" s="188">
        <f>N72*Caractéristiques!$C$29</f>
        <v>0</v>
      </c>
      <c r="O74" s="163">
        <f>SUM(C74:N74)</f>
        <v>0</v>
      </c>
      <c r="P74" s="41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</row>
    <row r="75" spans="1:47" x14ac:dyDescent="0.25">
      <c r="A75" s="38"/>
      <c r="B75" s="48" t="s">
        <v>181</v>
      </c>
      <c r="C75" s="188">
        <f>C73+C74</f>
        <v>0</v>
      </c>
      <c r="D75" s="188">
        <f t="shared" ref="D75" si="24">D73+D74</f>
        <v>0</v>
      </c>
      <c r="E75" s="188">
        <f t="shared" ref="E75" si="25">E73+E74</f>
        <v>0</v>
      </c>
      <c r="F75" s="188">
        <f t="shared" ref="F75" si="26">F73+F74</f>
        <v>0</v>
      </c>
      <c r="G75" s="188">
        <f t="shared" ref="G75" si="27">G73+G74</f>
        <v>0</v>
      </c>
      <c r="H75" s="188">
        <f t="shared" ref="H75" si="28">H73+H74</f>
        <v>0</v>
      </c>
      <c r="I75" s="188">
        <f t="shared" ref="I75" si="29">I73+I74</f>
        <v>0</v>
      </c>
      <c r="J75" s="188">
        <f t="shared" ref="J75" si="30">J73+J74</f>
        <v>0</v>
      </c>
      <c r="K75" s="188">
        <f t="shared" ref="K75" si="31">K73+K74</f>
        <v>0</v>
      </c>
      <c r="L75" s="188">
        <f t="shared" ref="L75" si="32">L73+L74</f>
        <v>0</v>
      </c>
      <c r="M75" s="188">
        <f t="shared" ref="M75" si="33">M73+M74</f>
        <v>0</v>
      </c>
      <c r="N75" s="188">
        <f t="shared" ref="N75" si="34">N73+N74</f>
        <v>0</v>
      </c>
      <c r="O75" s="163">
        <f>SUM(C75:N75)</f>
        <v>0</v>
      </c>
      <c r="P75" s="39"/>
    </row>
    <row r="76" spans="1:47" s="29" customFormat="1" ht="15" customHeight="1" x14ac:dyDescent="0.25">
      <c r="A76" s="38"/>
      <c r="B76" s="51" t="s">
        <v>171</v>
      </c>
      <c r="C76" s="58">
        <f>C72-C74</f>
        <v>0</v>
      </c>
      <c r="D76" s="58">
        <f t="shared" ref="D76:O76" si="35">D72-D74</f>
        <v>0</v>
      </c>
      <c r="E76" s="58">
        <f t="shared" si="35"/>
        <v>0</v>
      </c>
      <c r="F76" s="58">
        <f t="shared" si="35"/>
        <v>0</v>
      </c>
      <c r="G76" s="58">
        <f t="shared" si="35"/>
        <v>0</v>
      </c>
      <c r="H76" s="58">
        <f t="shared" si="35"/>
        <v>0</v>
      </c>
      <c r="I76" s="58">
        <f t="shared" si="35"/>
        <v>0</v>
      </c>
      <c r="J76" s="58">
        <f t="shared" si="35"/>
        <v>0</v>
      </c>
      <c r="K76" s="58">
        <f t="shared" si="35"/>
        <v>0</v>
      </c>
      <c r="L76" s="58">
        <f t="shared" si="35"/>
        <v>0</v>
      </c>
      <c r="M76" s="58">
        <f t="shared" si="35"/>
        <v>0</v>
      </c>
      <c r="N76" s="58">
        <f t="shared" si="35"/>
        <v>0</v>
      </c>
      <c r="O76" s="58">
        <f t="shared" si="35"/>
        <v>0</v>
      </c>
      <c r="P76" s="39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</row>
    <row r="77" spans="1:47" s="29" customFormat="1" ht="15" customHeight="1" x14ac:dyDescent="0.25">
      <c r="A77" s="38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9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</row>
    <row r="78" spans="1:47" ht="19.5" customHeight="1" x14ac:dyDescent="0.25">
      <c r="A78" s="38"/>
      <c r="B78" s="45" t="s">
        <v>148</v>
      </c>
      <c r="C78" s="46" t="s">
        <v>149</v>
      </c>
      <c r="D78" s="46" t="s">
        <v>150</v>
      </c>
      <c r="E78" s="46" t="s">
        <v>151</v>
      </c>
      <c r="F78" s="46" t="s">
        <v>152</v>
      </c>
      <c r="G78" s="46" t="s">
        <v>153</v>
      </c>
      <c r="H78" s="46" t="s">
        <v>154</v>
      </c>
      <c r="I78" s="46" t="s">
        <v>155</v>
      </c>
      <c r="J78" s="46" t="s">
        <v>156</v>
      </c>
      <c r="K78" s="46" t="s">
        <v>157</v>
      </c>
      <c r="L78" s="46" t="s">
        <v>158</v>
      </c>
      <c r="M78" s="46" t="s">
        <v>159</v>
      </c>
      <c r="N78" s="46" t="s">
        <v>160</v>
      </c>
      <c r="O78" s="50" t="s">
        <v>20</v>
      </c>
      <c r="P78" s="39"/>
    </row>
    <row r="79" spans="1:47" x14ac:dyDescent="0.25">
      <c r="A79" s="38"/>
      <c r="B79" s="293" t="s">
        <v>48</v>
      </c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187">
        <f>SUM(C79:N79)</f>
        <v>0</v>
      </c>
      <c r="P79" s="39"/>
    </row>
    <row r="80" spans="1:47" x14ac:dyDescent="0.25">
      <c r="A80" s="38"/>
      <c r="B80" s="293" t="s">
        <v>49</v>
      </c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187">
        <f t="shared" ref="O80:O83" si="36">SUM(C80:N80)</f>
        <v>0</v>
      </c>
      <c r="P80" s="39"/>
    </row>
    <row r="81" spans="1:47" x14ac:dyDescent="0.25">
      <c r="A81" s="38"/>
      <c r="B81" s="293" t="s">
        <v>131</v>
      </c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187">
        <f t="shared" si="36"/>
        <v>0</v>
      </c>
      <c r="P81" s="39"/>
    </row>
    <row r="82" spans="1:47" x14ac:dyDescent="0.25">
      <c r="A82" s="38"/>
      <c r="B82" s="293" t="s">
        <v>131</v>
      </c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187">
        <f t="shared" si="36"/>
        <v>0</v>
      </c>
      <c r="P82" s="39"/>
    </row>
    <row r="83" spans="1:47" x14ac:dyDescent="0.25">
      <c r="A83" s="38"/>
      <c r="B83" s="293" t="s">
        <v>131</v>
      </c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187">
        <f t="shared" si="36"/>
        <v>0</v>
      </c>
      <c r="P83" s="39"/>
    </row>
    <row r="84" spans="1:47" x14ac:dyDescent="0.25">
      <c r="A84" s="38"/>
      <c r="B84" s="293" t="s">
        <v>131</v>
      </c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187">
        <f t="shared" ref="O84:O88" si="37">SUM(C84:N84)</f>
        <v>0</v>
      </c>
      <c r="P84" s="39"/>
    </row>
    <row r="85" spans="1:47" x14ac:dyDescent="0.25">
      <c r="A85" s="38"/>
      <c r="B85" s="293" t="s">
        <v>131</v>
      </c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187">
        <f t="shared" si="37"/>
        <v>0</v>
      </c>
      <c r="P85" s="39"/>
    </row>
    <row r="86" spans="1:47" x14ac:dyDescent="0.25">
      <c r="A86" s="38"/>
      <c r="B86" s="293" t="s">
        <v>131</v>
      </c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187">
        <f t="shared" si="37"/>
        <v>0</v>
      </c>
      <c r="P86" s="39"/>
    </row>
    <row r="87" spans="1:47" x14ac:dyDescent="0.25">
      <c r="A87" s="38"/>
      <c r="B87" s="293" t="s">
        <v>131</v>
      </c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187">
        <f t="shared" si="37"/>
        <v>0</v>
      </c>
      <c r="P87" s="39"/>
    </row>
    <row r="88" spans="1:47" x14ac:dyDescent="0.25">
      <c r="A88" s="38"/>
      <c r="B88" s="293" t="s">
        <v>131</v>
      </c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187">
        <f t="shared" si="37"/>
        <v>0</v>
      </c>
      <c r="P88" s="39"/>
    </row>
    <row r="89" spans="1:47" s="28" customFormat="1" x14ac:dyDescent="0.25">
      <c r="A89" s="40"/>
      <c r="B89" s="51" t="s">
        <v>180</v>
      </c>
      <c r="C89" s="58">
        <f t="shared" ref="C89:O89" si="38">SUM(C79:C88)</f>
        <v>0</v>
      </c>
      <c r="D89" s="58">
        <f t="shared" si="38"/>
        <v>0</v>
      </c>
      <c r="E89" s="58">
        <f t="shared" si="38"/>
        <v>0</v>
      </c>
      <c r="F89" s="58">
        <f t="shared" si="38"/>
        <v>0</v>
      </c>
      <c r="G89" s="58">
        <f t="shared" si="38"/>
        <v>0</v>
      </c>
      <c r="H89" s="58">
        <f t="shared" si="38"/>
        <v>0</v>
      </c>
      <c r="I89" s="58">
        <f t="shared" si="38"/>
        <v>0</v>
      </c>
      <c r="J89" s="58">
        <f t="shared" si="38"/>
        <v>0</v>
      </c>
      <c r="K89" s="58">
        <f t="shared" si="38"/>
        <v>0</v>
      </c>
      <c r="L89" s="58">
        <f t="shared" si="38"/>
        <v>0</v>
      </c>
      <c r="M89" s="58">
        <f t="shared" si="38"/>
        <v>0</v>
      </c>
      <c r="N89" s="58">
        <f t="shared" si="38"/>
        <v>0</v>
      </c>
      <c r="O89" s="58">
        <f t="shared" si="38"/>
        <v>0</v>
      </c>
      <c r="P89" s="41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</row>
    <row r="90" spans="1:47" s="28" customFormat="1" x14ac:dyDescent="0.2">
      <c r="A90" s="40"/>
      <c r="B90" s="75" t="s">
        <v>182</v>
      </c>
      <c r="C90" s="188">
        <f>C89*Caractéristiques!$C$30</f>
        <v>0</v>
      </c>
      <c r="D90" s="188">
        <f>D89*Caractéristiques!$C$30</f>
        <v>0</v>
      </c>
      <c r="E90" s="188">
        <f>E89*Caractéristiques!$C$30</f>
        <v>0</v>
      </c>
      <c r="F90" s="188">
        <f>F89*Caractéristiques!$C$30</f>
        <v>0</v>
      </c>
      <c r="G90" s="188">
        <f>G89*Caractéristiques!$C$30</f>
        <v>0</v>
      </c>
      <c r="H90" s="188">
        <f>H89*Caractéristiques!$C$30</f>
        <v>0</v>
      </c>
      <c r="I90" s="188">
        <f>I89*Caractéristiques!$C$30</f>
        <v>0</v>
      </c>
      <c r="J90" s="188">
        <f>J89*Caractéristiques!$C$30</f>
        <v>0</v>
      </c>
      <c r="K90" s="188">
        <f>K89*Caractéristiques!$C$30</f>
        <v>0</v>
      </c>
      <c r="L90" s="188">
        <f>L89*Caractéristiques!$C$30</f>
        <v>0</v>
      </c>
      <c r="M90" s="188">
        <f>M89*Caractéristiques!$C$30</f>
        <v>0</v>
      </c>
      <c r="N90" s="188">
        <f>N89*Caractéristiques!$C$30</f>
        <v>0</v>
      </c>
      <c r="O90" s="163">
        <f>SUM(C90:N90)</f>
        <v>0</v>
      </c>
      <c r="P90" s="41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</row>
    <row r="91" spans="1:47" s="28" customFormat="1" x14ac:dyDescent="0.2">
      <c r="A91" s="40"/>
      <c r="B91" s="75" t="s">
        <v>183</v>
      </c>
      <c r="C91" s="188">
        <f>C89*Caractéristiques!$C$29</f>
        <v>0</v>
      </c>
      <c r="D91" s="188">
        <f>D89*Caractéristiques!$C$29</f>
        <v>0</v>
      </c>
      <c r="E91" s="188">
        <f>E89*Caractéristiques!$C$29</f>
        <v>0</v>
      </c>
      <c r="F91" s="188">
        <f>F89*Caractéristiques!$C$29</f>
        <v>0</v>
      </c>
      <c r="G91" s="188">
        <f>G89*Caractéristiques!$C$29</f>
        <v>0</v>
      </c>
      <c r="H91" s="188">
        <f>H89*Caractéristiques!$C$29</f>
        <v>0</v>
      </c>
      <c r="I91" s="188">
        <f>I89*Caractéristiques!$C$29</f>
        <v>0</v>
      </c>
      <c r="J91" s="188">
        <f>J89*Caractéristiques!$C$29</f>
        <v>0</v>
      </c>
      <c r="K91" s="188">
        <f>K89*Caractéristiques!$C$29</f>
        <v>0</v>
      </c>
      <c r="L91" s="188">
        <f>L89*Caractéristiques!$C$29</f>
        <v>0</v>
      </c>
      <c r="M91" s="188">
        <f>M89*Caractéristiques!$C$29</f>
        <v>0</v>
      </c>
      <c r="N91" s="188">
        <f>N89*Caractéristiques!$C$29</f>
        <v>0</v>
      </c>
      <c r="O91" s="163">
        <f>SUM(C91:N91)</f>
        <v>0</v>
      </c>
      <c r="P91" s="41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</row>
    <row r="92" spans="1:47" x14ac:dyDescent="0.25">
      <c r="A92" s="38"/>
      <c r="B92" s="48" t="s">
        <v>181</v>
      </c>
      <c r="C92" s="188">
        <f>C90+C91</f>
        <v>0</v>
      </c>
      <c r="D92" s="188">
        <f t="shared" ref="D92:N92" si="39">D90+D91</f>
        <v>0</v>
      </c>
      <c r="E92" s="188">
        <f t="shared" si="39"/>
        <v>0</v>
      </c>
      <c r="F92" s="188">
        <f t="shared" si="39"/>
        <v>0</v>
      </c>
      <c r="G92" s="188">
        <f t="shared" si="39"/>
        <v>0</v>
      </c>
      <c r="H92" s="188">
        <f t="shared" si="39"/>
        <v>0</v>
      </c>
      <c r="I92" s="188">
        <f t="shared" si="39"/>
        <v>0</v>
      </c>
      <c r="J92" s="188">
        <f t="shared" si="39"/>
        <v>0</v>
      </c>
      <c r="K92" s="188">
        <f t="shared" si="39"/>
        <v>0</v>
      </c>
      <c r="L92" s="188">
        <f t="shared" si="39"/>
        <v>0</v>
      </c>
      <c r="M92" s="188">
        <f t="shared" si="39"/>
        <v>0</v>
      </c>
      <c r="N92" s="188">
        <f t="shared" si="39"/>
        <v>0</v>
      </c>
      <c r="O92" s="163">
        <f>SUM(C92:N92)</f>
        <v>0</v>
      </c>
      <c r="P92" s="39"/>
    </row>
    <row r="93" spans="1:47" s="29" customFormat="1" ht="15" customHeight="1" x14ac:dyDescent="0.25">
      <c r="A93" s="38"/>
      <c r="B93" s="51" t="s">
        <v>171</v>
      </c>
      <c r="C93" s="58">
        <f>C89-C91</f>
        <v>0</v>
      </c>
      <c r="D93" s="58">
        <f t="shared" ref="D93:O93" si="40">D89-D91</f>
        <v>0</v>
      </c>
      <c r="E93" s="58">
        <f t="shared" si="40"/>
        <v>0</v>
      </c>
      <c r="F93" s="58">
        <f t="shared" si="40"/>
        <v>0</v>
      </c>
      <c r="G93" s="58">
        <f t="shared" si="40"/>
        <v>0</v>
      </c>
      <c r="H93" s="58">
        <f t="shared" si="40"/>
        <v>0</v>
      </c>
      <c r="I93" s="58">
        <f t="shared" si="40"/>
        <v>0</v>
      </c>
      <c r="J93" s="58">
        <f t="shared" si="40"/>
        <v>0</v>
      </c>
      <c r="K93" s="58">
        <f t="shared" si="40"/>
        <v>0</v>
      </c>
      <c r="L93" s="58">
        <f t="shared" si="40"/>
        <v>0</v>
      </c>
      <c r="M93" s="58">
        <f t="shared" si="40"/>
        <v>0</v>
      </c>
      <c r="N93" s="58">
        <f t="shared" si="40"/>
        <v>0</v>
      </c>
      <c r="O93" s="58">
        <f t="shared" si="40"/>
        <v>0</v>
      </c>
      <c r="P93" s="39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</row>
    <row r="94" spans="1:47" s="29" customFormat="1" ht="15" customHeight="1" x14ac:dyDescent="0.25">
      <c r="A94" s="38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9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</row>
    <row r="95" spans="1:47" x14ac:dyDescent="0.25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1:47" x14ac:dyDescent="0.25">
      <c r="A96" s="26"/>
      <c r="P96" s="34"/>
    </row>
    <row r="97" spans="1:16" x14ac:dyDescent="0.25">
      <c r="A97" s="26"/>
      <c r="P97" s="34"/>
    </row>
    <row r="98" spans="1:16" x14ac:dyDescent="0.25">
      <c r="A98" s="26"/>
      <c r="P98" s="34"/>
    </row>
    <row r="99" spans="1:16" x14ac:dyDescent="0.25">
      <c r="A99" s="26"/>
      <c r="P99" s="34"/>
    </row>
    <row r="100" spans="1:16" x14ac:dyDescent="0.25">
      <c r="A100" s="26"/>
      <c r="P100" s="34"/>
    </row>
    <row r="101" spans="1:16" x14ac:dyDescent="0.25">
      <c r="A101" s="26"/>
      <c r="P101" s="34"/>
    </row>
    <row r="102" spans="1:16" x14ac:dyDescent="0.25">
      <c r="A102" s="26"/>
      <c r="P102" s="34"/>
    </row>
    <row r="103" spans="1:16" x14ac:dyDescent="0.25">
      <c r="A103" s="26"/>
      <c r="P103" s="34"/>
    </row>
    <row r="104" spans="1:16" x14ac:dyDescent="0.25">
      <c r="A104" s="26"/>
      <c r="P104" s="34"/>
    </row>
    <row r="105" spans="1:16" x14ac:dyDescent="0.25">
      <c r="A105" s="26"/>
      <c r="P105" s="34"/>
    </row>
    <row r="106" spans="1:16" x14ac:dyDescent="0.25">
      <c r="A106" s="26"/>
      <c r="P106" s="34"/>
    </row>
    <row r="107" spans="1:16" x14ac:dyDescent="0.25">
      <c r="A107" s="26"/>
      <c r="P107" s="34"/>
    </row>
    <row r="108" spans="1:16" x14ac:dyDescent="0.25">
      <c r="A108" s="26"/>
      <c r="P108" s="34"/>
    </row>
    <row r="109" spans="1:16" x14ac:dyDescent="0.25">
      <c r="A109" s="26"/>
      <c r="P109" s="34"/>
    </row>
    <row r="110" spans="1:16" x14ac:dyDescent="0.25">
      <c r="A110" s="26"/>
      <c r="P110" s="34"/>
    </row>
    <row r="111" spans="1:16" x14ac:dyDescent="0.25">
      <c r="A111" s="26"/>
      <c r="P111" s="34"/>
    </row>
    <row r="112" spans="1:16" x14ac:dyDescent="0.25">
      <c r="A112" s="26"/>
      <c r="P112" s="34"/>
    </row>
    <row r="113" spans="1:16" x14ac:dyDescent="0.25">
      <c r="A113" s="26"/>
      <c r="P113" s="34"/>
    </row>
    <row r="114" spans="1:16" x14ac:dyDescent="0.25">
      <c r="A114" s="26"/>
      <c r="P114" s="34"/>
    </row>
    <row r="115" spans="1:16" x14ac:dyDescent="0.25">
      <c r="A115" s="26"/>
      <c r="P115" s="34"/>
    </row>
    <row r="116" spans="1:16" x14ac:dyDescent="0.25">
      <c r="A116" s="26"/>
      <c r="P116" s="34"/>
    </row>
    <row r="117" spans="1:16" x14ac:dyDescent="0.25">
      <c r="A117" s="26"/>
      <c r="P117" s="34"/>
    </row>
    <row r="118" spans="1:16" x14ac:dyDescent="0.25">
      <c r="A118" s="26"/>
      <c r="P118" s="34"/>
    </row>
    <row r="119" spans="1:16" x14ac:dyDescent="0.25">
      <c r="A119" s="26"/>
      <c r="P119" s="34"/>
    </row>
    <row r="120" spans="1:16" x14ac:dyDescent="0.25">
      <c r="A120" s="26"/>
      <c r="P120" s="34"/>
    </row>
    <row r="121" spans="1:16" x14ac:dyDescent="0.25">
      <c r="A121" s="26"/>
      <c r="P121" s="34"/>
    </row>
    <row r="122" spans="1:16" x14ac:dyDescent="0.25">
      <c r="A122" s="26"/>
      <c r="P122" s="34"/>
    </row>
    <row r="123" spans="1:16" x14ac:dyDescent="0.25">
      <c r="A123" s="26"/>
      <c r="P123" s="34"/>
    </row>
    <row r="124" spans="1:16" x14ac:dyDescent="0.25">
      <c r="A124" s="26"/>
      <c r="P124" s="34"/>
    </row>
    <row r="125" spans="1:16" x14ac:dyDescent="0.25">
      <c r="A125" s="26"/>
      <c r="P125" s="34"/>
    </row>
    <row r="126" spans="1:16" x14ac:dyDescent="0.25">
      <c r="A126" s="26"/>
      <c r="P126" s="34"/>
    </row>
    <row r="127" spans="1:16" x14ac:dyDescent="0.25">
      <c r="A127" s="26"/>
      <c r="P127" s="34"/>
    </row>
    <row r="128" spans="1:16" x14ac:dyDescent="0.25">
      <c r="A128" s="26"/>
      <c r="P128" s="34"/>
    </row>
    <row r="129" spans="1:16" x14ac:dyDescent="0.25">
      <c r="A129" s="26"/>
      <c r="P129" s="34"/>
    </row>
    <row r="130" spans="1:16" x14ac:dyDescent="0.25">
      <c r="A130" s="26"/>
      <c r="P130" s="34"/>
    </row>
    <row r="131" spans="1:16" x14ac:dyDescent="0.25">
      <c r="A131" s="26"/>
      <c r="P131" s="34"/>
    </row>
    <row r="132" spans="1:16" x14ac:dyDescent="0.25">
      <c r="A132" s="26"/>
      <c r="P132" s="34"/>
    </row>
    <row r="133" spans="1:16" x14ac:dyDescent="0.25">
      <c r="A133" s="26"/>
      <c r="P133" s="34"/>
    </row>
    <row r="134" spans="1:16" x14ac:dyDescent="0.25">
      <c r="A134" s="26"/>
      <c r="P134" s="34"/>
    </row>
    <row r="135" spans="1:16" x14ac:dyDescent="0.25">
      <c r="A135" s="26"/>
      <c r="P135" s="34"/>
    </row>
    <row r="136" spans="1:16" x14ac:dyDescent="0.25">
      <c r="A136" s="26"/>
      <c r="P136" s="34"/>
    </row>
    <row r="137" spans="1:16" x14ac:dyDescent="0.25">
      <c r="A137" s="26"/>
      <c r="P137" s="34"/>
    </row>
    <row r="138" spans="1:16" x14ac:dyDescent="0.25">
      <c r="A138" s="26"/>
      <c r="P138" s="34"/>
    </row>
    <row r="139" spans="1:16" x14ac:dyDescent="0.25">
      <c r="A139" s="26"/>
      <c r="P139" s="34"/>
    </row>
    <row r="140" spans="1:16" x14ac:dyDescent="0.25">
      <c r="A140" s="26"/>
      <c r="P140" s="34"/>
    </row>
    <row r="141" spans="1:16" x14ac:dyDescent="0.25">
      <c r="A141" s="26"/>
      <c r="P141" s="34"/>
    </row>
    <row r="142" spans="1:16" x14ac:dyDescent="0.25">
      <c r="A142" s="26"/>
      <c r="P142" s="34"/>
    </row>
    <row r="143" spans="1:16" x14ac:dyDescent="0.25">
      <c r="A143" s="26"/>
      <c r="P143" s="34"/>
    </row>
    <row r="144" spans="1:16" x14ac:dyDescent="0.25">
      <c r="A144" s="26"/>
      <c r="P144" s="34"/>
    </row>
    <row r="145" spans="1:16" x14ac:dyDescent="0.25">
      <c r="A145" s="26"/>
      <c r="P145" s="34"/>
    </row>
    <row r="146" spans="1:16" x14ac:dyDescent="0.25">
      <c r="A146" s="26"/>
      <c r="P146" s="34"/>
    </row>
    <row r="147" spans="1:16" x14ac:dyDescent="0.25">
      <c r="A147" s="26"/>
      <c r="P147" s="34"/>
    </row>
    <row r="148" spans="1:16" x14ac:dyDescent="0.25">
      <c r="A148" s="26"/>
      <c r="P148" s="34"/>
    </row>
    <row r="149" spans="1:16" x14ac:dyDescent="0.25">
      <c r="A149" s="26"/>
      <c r="P149" s="34"/>
    </row>
    <row r="150" spans="1:16" x14ac:dyDescent="0.25">
      <c r="A150" s="26"/>
      <c r="P150" s="34"/>
    </row>
    <row r="151" spans="1:16" x14ac:dyDescent="0.25">
      <c r="A151" s="26"/>
      <c r="P151" s="34"/>
    </row>
    <row r="152" spans="1:16" x14ac:dyDescent="0.25">
      <c r="A152" s="26"/>
      <c r="P152" s="34"/>
    </row>
    <row r="153" spans="1:16" x14ac:dyDescent="0.25">
      <c r="A153" s="26"/>
      <c r="P153" s="34"/>
    </row>
    <row r="154" spans="1:16" x14ac:dyDescent="0.25">
      <c r="A154" s="26"/>
      <c r="P154" s="34"/>
    </row>
    <row r="155" spans="1:16" x14ac:dyDescent="0.25">
      <c r="A155" s="26"/>
      <c r="P155" s="34"/>
    </row>
    <row r="156" spans="1:16" x14ac:dyDescent="0.25">
      <c r="A156" s="26"/>
      <c r="P156" s="34"/>
    </row>
    <row r="157" spans="1:16" x14ac:dyDescent="0.25">
      <c r="A157" s="26"/>
      <c r="P157" s="34"/>
    </row>
    <row r="158" spans="1:16" x14ac:dyDescent="0.25">
      <c r="A158" s="26"/>
      <c r="P158" s="34"/>
    </row>
    <row r="159" spans="1:16" x14ac:dyDescent="0.25">
      <c r="A159" s="26"/>
      <c r="P159" s="34"/>
    </row>
    <row r="160" spans="1:16" x14ac:dyDescent="0.25">
      <c r="A160" s="26"/>
      <c r="P160" s="34"/>
    </row>
    <row r="161" spans="1:16" x14ac:dyDescent="0.25">
      <c r="A161" s="26"/>
      <c r="P161" s="34"/>
    </row>
    <row r="162" spans="1:16" x14ac:dyDescent="0.25">
      <c r="A162" s="26"/>
      <c r="P162" s="34"/>
    </row>
    <row r="163" spans="1:16" x14ac:dyDescent="0.25">
      <c r="A163" s="26"/>
      <c r="P163" s="34"/>
    </row>
    <row r="164" spans="1:16" x14ac:dyDescent="0.25">
      <c r="A164" s="26"/>
      <c r="P164" s="34"/>
    </row>
    <row r="165" spans="1:16" x14ac:dyDescent="0.25">
      <c r="A165" s="26"/>
      <c r="P165" s="34"/>
    </row>
    <row r="166" spans="1:16" x14ac:dyDescent="0.25">
      <c r="A166" s="26"/>
      <c r="P166" s="34"/>
    </row>
    <row r="167" spans="1:16" x14ac:dyDescent="0.25">
      <c r="A167" s="26"/>
      <c r="P167" s="34"/>
    </row>
    <row r="168" spans="1:16" x14ac:dyDescent="0.25">
      <c r="A168" s="26"/>
      <c r="P168" s="34"/>
    </row>
    <row r="169" spans="1:16" x14ac:dyDescent="0.25">
      <c r="A169" s="26"/>
      <c r="P169" s="34"/>
    </row>
    <row r="170" spans="1:16" x14ac:dyDescent="0.25">
      <c r="A170" s="26"/>
      <c r="P170" s="34"/>
    </row>
    <row r="171" spans="1:16" x14ac:dyDescent="0.25">
      <c r="A171" s="26"/>
      <c r="P171" s="34"/>
    </row>
    <row r="172" spans="1:16" x14ac:dyDescent="0.25">
      <c r="A172" s="26"/>
      <c r="P172" s="34"/>
    </row>
    <row r="173" spans="1:16" x14ac:dyDescent="0.25">
      <c r="A173" s="26"/>
      <c r="P173" s="34"/>
    </row>
    <row r="174" spans="1:16" x14ac:dyDescent="0.25">
      <c r="A174" s="26"/>
      <c r="P174" s="34"/>
    </row>
    <row r="175" spans="1:16" x14ac:dyDescent="0.25">
      <c r="A175" s="26"/>
      <c r="P175" s="34"/>
    </row>
    <row r="176" spans="1:16" x14ac:dyDescent="0.25">
      <c r="A176" s="26"/>
      <c r="P176" s="34"/>
    </row>
    <row r="177" spans="1:16" x14ac:dyDescent="0.25">
      <c r="A177" s="26"/>
      <c r="P177" s="34"/>
    </row>
    <row r="178" spans="1:16" x14ac:dyDescent="0.25">
      <c r="A178" s="26"/>
      <c r="P178" s="34"/>
    </row>
    <row r="179" spans="1:16" x14ac:dyDescent="0.25">
      <c r="A179" s="26"/>
      <c r="P179" s="34"/>
    </row>
    <row r="180" spans="1:16" x14ac:dyDescent="0.25">
      <c r="A180" s="26"/>
      <c r="P180" s="34"/>
    </row>
    <row r="181" spans="1:16" x14ac:dyDescent="0.25">
      <c r="A181" s="26"/>
      <c r="P181" s="34"/>
    </row>
    <row r="182" spans="1:16" x14ac:dyDescent="0.25">
      <c r="A182" s="26"/>
      <c r="P182" s="34"/>
    </row>
    <row r="183" spans="1:16" x14ac:dyDescent="0.25">
      <c r="A183" s="26"/>
      <c r="P183" s="34"/>
    </row>
    <row r="184" spans="1:16" x14ac:dyDescent="0.25">
      <c r="A184" s="26"/>
      <c r="P184" s="34"/>
    </row>
    <row r="185" spans="1:16" x14ac:dyDescent="0.25">
      <c r="A185" s="26"/>
      <c r="P185" s="34"/>
    </row>
    <row r="186" spans="1:16" x14ac:dyDescent="0.25">
      <c r="A186" s="26"/>
      <c r="P186" s="34"/>
    </row>
    <row r="187" spans="1:16" x14ac:dyDescent="0.25">
      <c r="A187" s="26"/>
      <c r="P187" s="34"/>
    </row>
    <row r="188" spans="1:16" x14ac:dyDescent="0.25">
      <c r="A188" s="26"/>
      <c r="P188" s="34"/>
    </row>
    <row r="189" spans="1:16" x14ac:dyDescent="0.25">
      <c r="A189" s="26"/>
      <c r="P189" s="34"/>
    </row>
    <row r="190" spans="1:16" x14ac:dyDescent="0.25">
      <c r="A190" s="26"/>
      <c r="P190" s="34"/>
    </row>
    <row r="191" spans="1:16" x14ac:dyDescent="0.25">
      <c r="A191" s="26"/>
      <c r="P191" s="34"/>
    </row>
    <row r="192" spans="1:16" x14ac:dyDescent="0.25">
      <c r="A192" s="26"/>
      <c r="P192" s="34"/>
    </row>
    <row r="193" spans="1:16" x14ac:dyDescent="0.25">
      <c r="A193" s="26"/>
      <c r="P193" s="34"/>
    </row>
    <row r="194" spans="1:16" x14ac:dyDescent="0.25">
      <c r="A194" s="26"/>
      <c r="P194" s="34"/>
    </row>
    <row r="195" spans="1:16" x14ac:dyDescent="0.25">
      <c r="A195" s="26"/>
      <c r="P195" s="34"/>
    </row>
    <row r="196" spans="1:16" x14ac:dyDescent="0.25">
      <c r="A196" s="26"/>
      <c r="P196" s="34"/>
    </row>
    <row r="197" spans="1:16" x14ac:dyDescent="0.25">
      <c r="A197" s="26"/>
      <c r="P197" s="34"/>
    </row>
    <row r="198" spans="1:16" x14ac:dyDescent="0.25">
      <c r="A198" s="26"/>
      <c r="P198" s="34"/>
    </row>
    <row r="199" spans="1:16" x14ac:dyDescent="0.25">
      <c r="A199" s="26"/>
      <c r="P199" s="34"/>
    </row>
    <row r="200" spans="1:16" x14ac:dyDescent="0.25">
      <c r="A200" s="26"/>
      <c r="P200" s="34"/>
    </row>
    <row r="201" spans="1:16" x14ac:dyDescent="0.25">
      <c r="A201" s="26"/>
      <c r="P201" s="34"/>
    </row>
    <row r="202" spans="1:16" x14ac:dyDescent="0.25">
      <c r="A202" s="26"/>
      <c r="P202" s="34"/>
    </row>
    <row r="203" spans="1:16" x14ac:dyDescent="0.25">
      <c r="A203" s="26"/>
      <c r="P203" s="34"/>
    </row>
    <row r="204" spans="1:16" x14ac:dyDescent="0.25">
      <c r="A204" s="26"/>
      <c r="P204" s="34"/>
    </row>
    <row r="205" spans="1:16" x14ac:dyDescent="0.25">
      <c r="A205" s="26"/>
      <c r="P205" s="34"/>
    </row>
    <row r="206" spans="1:16" x14ac:dyDescent="0.25">
      <c r="A206" s="26"/>
      <c r="P206" s="34"/>
    </row>
    <row r="207" spans="1:16" x14ac:dyDescent="0.25">
      <c r="A207" s="26"/>
      <c r="P207" s="34"/>
    </row>
    <row r="208" spans="1:16" x14ac:dyDescent="0.25">
      <c r="A208" s="26"/>
      <c r="P208" s="34"/>
    </row>
    <row r="209" spans="1:16" x14ac:dyDescent="0.25">
      <c r="A209" s="26"/>
      <c r="P209" s="34"/>
    </row>
    <row r="210" spans="1:16" x14ac:dyDescent="0.25">
      <c r="A210" s="26"/>
      <c r="P210" s="34"/>
    </row>
    <row r="211" spans="1:16" x14ac:dyDescent="0.25">
      <c r="A211" s="26"/>
      <c r="P211" s="34"/>
    </row>
    <row r="212" spans="1:16" x14ac:dyDescent="0.25">
      <c r="A212" s="26"/>
      <c r="P212" s="34"/>
    </row>
    <row r="213" spans="1:16" x14ac:dyDescent="0.25">
      <c r="A213" s="26"/>
      <c r="P213" s="34"/>
    </row>
    <row r="214" spans="1:16" x14ac:dyDescent="0.25">
      <c r="A214" s="26"/>
      <c r="P214" s="34"/>
    </row>
    <row r="215" spans="1:16" x14ac:dyDescent="0.25">
      <c r="A215" s="26"/>
      <c r="P215" s="34"/>
    </row>
    <row r="216" spans="1:16" x14ac:dyDescent="0.25">
      <c r="A216" s="26"/>
      <c r="P216" s="34"/>
    </row>
    <row r="217" spans="1:16" x14ac:dyDescent="0.25">
      <c r="A217" s="26"/>
      <c r="P217" s="34"/>
    </row>
    <row r="218" spans="1:16" x14ac:dyDescent="0.25">
      <c r="A218" s="26"/>
      <c r="P218" s="34"/>
    </row>
    <row r="219" spans="1:16" x14ac:dyDescent="0.25">
      <c r="A219" s="26"/>
      <c r="P219" s="34"/>
    </row>
    <row r="220" spans="1:16" x14ac:dyDescent="0.25">
      <c r="A220" s="26"/>
      <c r="P220" s="34"/>
    </row>
    <row r="221" spans="1:16" x14ac:dyDescent="0.25">
      <c r="A221" s="26"/>
      <c r="P221" s="34"/>
    </row>
    <row r="222" spans="1:16" x14ac:dyDescent="0.25">
      <c r="A222" s="26"/>
      <c r="P222" s="34"/>
    </row>
    <row r="223" spans="1:16" x14ac:dyDescent="0.25">
      <c r="A223" s="26"/>
      <c r="P223" s="34"/>
    </row>
    <row r="224" spans="1:16" x14ac:dyDescent="0.25">
      <c r="A224" s="26"/>
      <c r="P224" s="34"/>
    </row>
    <row r="225" spans="1:16" x14ac:dyDescent="0.25">
      <c r="A225" s="26"/>
      <c r="P225" s="34"/>
    </row>
    <row r="226" spans="1:16" x14ac:dyDescent="0.25">
      <c r="A226" s="26"/>
      <c r="P226" s="34"/>
    </row>
    <row r="227" spans="1:16" x14ac:dyDescent="0.25">
      <c r="A227" s="26"/>
      <c r="P227" s="34"/>
    </row>
    <row r="228" spans="1:16" x14ac:dyDescent="0.25">
      <c r="A228" s="26"/>
      <c r="P228" s="34"/>
    </row>
    <row r="229" spans="1:16" x14ac:dyDescent="0.25">
      <c r="A229" s="26"/>
      <c r="P229" s="34"/>
    </row>
    <row r="230" spans="1:16" x14ac:dyDescent="0.25">
      <c r="A230" s="26"/>
      <c r="P230" s="34"/>
    </row>
    <row r="231" spans="1:16" x14ac:dyDescent="0.25">
      <c r="A231" s="26"/>
      <c r="P231" s="34"/>
    </row>
    <row r="232" spans="1:16" x14ac:dyDescent="0.25">
      <c r="A232" s="26"/>
      <c r="P232" s="34"/>
    </row>
    <row r="233" spans="1:16" x14ac:dyDescent="0.25">
      <c r="A233" s="26"/>
      <c r="P233" s="34"/>
    </row>
    <row r="234" spans="1:16" x14ac:dyDescent="0.25">
      <c r="A234" s="26"/>
      <c r="P234" s="34"/>
    </row>
    <row r="235" spans="1:16" x14ac:dyDescent="0.25">
      <c r="A235" s="26"/>
      <c r="P235" s="34"/>
    </row>
    <row r="236" spans="1:16" x14ac:dyDescent="0.25">
      <c r="A236" s="26"/>
      <c r="P236" s="34"/>
    </row>
    <row r="237" spans="1:16" x14ac:dyDescent="0.25">
      <c r="A237" s="26"/>
      <c r="P237" s="34"/>
    </row>
    <row r="238" spans="1:16" x14ac:dyDescent="0.25">
      <c r="A238" s="26"/>
      <c r="P238" s="34"/>
    </row>
    <row r="239" spans="1:16" x14ac:dyDescent="0.25">
      <c r="A239" s="26"/>
      <c r="P239" s="34"/>
    </row>
    <row r="240" spans="1:16" x14ac:dyDescent="0.25">
      <c r="A240" s="26"/>
      <c r="P240" s="34"/>
    </row>
    <row r="241" spans="1:16" x14ac:dyDescent="0.25">
      <c r="A241" s="26"/>
      <c r="P241" s="34"/>
    </row>
    <row r="242" spans="1:16" x14ac:dyDescent="0.25">
      <c r="A242" s="26"/>
      <c r="P242" s="34"/>
    </row>
    <row r="243" spans="1:16" x14ac:dyDescent="0.25">
      <c r="A243" s="26"/>
      <c r="P243" s="34"/>
    </row>
    <row r="244" spans="1:16" x14ac:dyDescent="0.25">
      <c r="A244" s="26"/>
      <c r="P244" s="34"/>
    </row>
    <row r="245" spans="1:16" x14ac:dyDescent="0.25">
      <c r="A245" s="26"/>
      <c r="P245" s="34"/>
    </row>
    <row r="246" spans="1:16" x14ac:dyDescent="0.25">
      <c r="A246" s="26"/>
      <c r="P246" s="34"/>
    </row>
    <row r="247" spans="1:16" x14ac:dyDescent="0.25">
      <c r="A247" s="26"/>
      <c r="P247" s="34"/>
    </row>
    <row r="248" spans="1:16" x14ac:dyDescent="0.25">
      <c r="A248" s="26"/>
      <c r="P248" s="34"/>
    </row>
    <row r="249" spans="1:16" x14ac:dyDescent="0.25">
      <c r="A249" s="26"/>
      <c r="P249" s="34"/>
    </row>
    <row r="250" spans="1:16" x14ac:dyDescent="0.25">
      <c r="A250" s="26"/>
      <c r="P250" s="34"/>
    </row>
    <row r="251" spans="1:16" x14ac:dyDescent="0.25">
      <c r="A251" s="26"/>
      <c r="P251" s="34"/>
    </row>
    <row r="252" spans="1:16" x14ac:dyDescent="0.25">
      <c r="A252" s="26"/>
      <c r="P252" s="34"/>
    </row>
    <row r="253" spans="1:16" x14ac:dyDescent="0.25">
      <c r="A253" s="26"/>
      <c r="P253" s="34"/>
    </row>
    <row r="254" spans="1:16" x14ac:dyDescent="0.25">
      <c r="A254" s="26"/>
      <c r="P254" s="34"/>
    </row>
    <row r="255" spans="1:16" x14ac:dyDescent="0.25">
      <c r="A255" s="26"/>
      <c r="P255" s="34"/>
    </row>
    <row r="256" spans="1:16" x14ac:dyDescent="0.25">
      <c r="A256" s="26"/>
      <c r="P256" s="34"/>
    </row>
    <row r="257" spans="16:16" x14ac:dyDescent="0.25">
      <c r="P257" s="34"/>
    </row>
    <row r="258" spans="16:16" x14ac:dyDescent="0.25">
      <c r="P258" s="34"/>
    </row>
    <row r="259" spans="16:16" x14ac:dyDescent="0.25">
      <c r="P259" s="34"/>
    </row>
    <row r="260" spans="16:16" x14ac:dyDescent="0.25">
      <c r="P260" s="34"/>
    </row>
    <row r="261" spans="16:16" x14ac:dyDescent="0.25">
      <c r="P261" s="34"/>
    </row>
    <row r="262" spans="16:16" x14ac:dyDescent="0.25">
      <c r="P262" s="34"/>
    </row>
    <row r="263" spans="16:16" x14ac:dyDescent="0.25">
      <c r="P263" s="34"/>
    </row>
    <row r="264" spans="16:16" x14ac:dyDescent="0.25">
      <c r="P264" s="34"/>
    </row>
    <row r="265" spans="16:16" x14ac:dyDescent="0.25">
      <c r="P265" s="34"/>
    </row>
    <row r="266" spans="16:16" x14ac:dyDescent="0.25">
      <c r="P266" s="34"/>
    </row>
    <row r="267" spans="16:16" x14ac:dyDescent="0.25">
      <c r="P267" s="34"/>
    </row>
    <row r="268" spans="16:16" x14ac:dyDescent="0.25">
      <c r="P268" s="34"/>
    </row>
    <row r="269" spans="16:16" x14ac:dyDescent="0.25">
      <c r="P269" s="34"/>
    </row>
    <row r="270" spans="16:16" x14ac:dyDescent="0.25">
      <c r="P270" s="34"/>
    </row>
    <row r="271" spans="16:16" x14ac:dyDescent="0.25">
      <c r="P271" s="34"/>
    </row>
    <row r="272" spans="16:16" x14ac:dyDescent="0.25">
      <c r="P272" s="34"/>
    </row>
    <row r="273" spans="16:16" x14ac:dyDescent="0.25">
      <c r="P273" s="34"/>
    </row>
    <row r="274" spans="16:16" x14ac:dyDescent="0.25">
      <c r="P274" s="34"/>
    </row>
    <row r="275" spans="16:16" x14ac:dyDescent="0.25">
      <c r="P275" s="34"/>
    </row>
    <row r="276" spans="16:16" x14ac:dyDescent="0.25">
      <c r="P276" s="34"/>
    </row>
    <row r="277" spans="16:16" x14ac:dyDescent="0.25">
      <c r="P277" s="34"/>
    </row>
    <row r="278" spans="16:16" x14ac:dyDescent="0.25">
      <c r="P278" s="34"/>
    </row>
    <row r="279" spans="16:16" x14ac:dyDescent="0.25">
      <c r="P279" s="34"/>
    </row>
    <row r="280" spans="16:16" x14ac:dyDescent="0.25">
      <c r="P280" s="34"/>
    </row>
    <row r="281" spans="16:16" x14ac:dyDescent="0.25">
      <c r="P281" s="34"/>
    </row>
    <row r="282" spans="16:16" x14ac:dyDescent="0.25">
      <c r="P282" s="34"/>
    </row>
    <row r="283" spans="16:16" x14ac:dyDescent="0.25">
      <c r="P283" s="34"/>
    </row>
    <row r="284" spans="16:16" x14ac:dyDescent="0.25">
      <c r="P284" s="34"/>
    </row>
    <row r="285" spans="16:16" x14ac:dyDescent="0.25">
      <c r="P285" s="34"/>
    </row>
    <row r="286" spans="16:16" x14ac:dyDescent="0.25">
      <c r="P286" s="34"/>
    </row>
    <row r="287" spans="16:16" x14ac:dyDescent="0.25">
      <c r="P287" s="34"/>
    </row>
    <row r="288" spans="16:16" x14ac:dyDescent="0.25">
      <c r="P288" s="34"/>
    </row>
    <row r="289" spans="16:16" x14ac:dyDescent="0.25">
      <c r="P289" s="34"/>
    </row>
    <row r="290" spans="16:16" x14ac:dyDescent="0.25">
      <c r="P290" s="34"/>
    </row>
    <row r="291" spans="16:16" x14ac:dyDescent="0.25">
      <c r="P291" s="34"/>
    </row>
    <row r="292" spans="16:16" x14ac:dyDescent="0.25">
      <c r="P292" s="34"/>
    </row>
    <row r="293" spans="16:16" x14ac:dyDescent="0.25">
      <c r="P293" s="34"/>
    </row>
    <row r="294" spans="16:16" x14ac:dyDescent="0.25">
      <c r="P294" s="34"/>
    </row>
    <row r="295" spans="16:16" x14ac:dyDescent="0.25">
      <c r="P295" s="34"/>
    </row>
  </sheetData>
  <sheetProtection algorithmName="SHA-512" hashValue="P6ziiLgYC1iW4k4QrKFyWSPyAWqCIMgLIrQVvywHOP4cjBL+WlsVOSSAl7aiBYnX0lj98EF44oALvmVK2IX93g==" saltValue="aN9tWGn2mTo2merrQYPwRg==" spinCount="100000" sheet="1" objects="1" scenarios="1"/>
  <mergeCells count="1">
    <mergeCell ref="B2:O2"/>
  </mergeCells>
  <hyperlinks>
    <hyperlink ref="B11" r:id="rId1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V300"/>
  <sheetViews>
    <sheetView showGridLines="0" zoomScale="90" zoomScaleNormal="90" workbookViewId="0">
      <selection activeCell="B9" sqref="B9"/>
    </sheetView>
  </sheetViews>
  <sheetFormatPr baseColWidth="10" defaultRowHeight="15" x14ac:dyDescent="0.25"/>
  <cols>
    <col min="1" max="1" width="2.42578125" style="29" customWidth="1"/>
    <col min="2" max="2" width="29.42578125" customWidth="1"/>
    <col min="3" max="14" width="15.7109375" customWidth="1"/>
    <col min="15" max="16" width="13.42578125" customWidth="1"/>
    <col min="17" max="17" width="3.140625" style="29" customWidth="1"/>
    <col min="18" max="48" width="11.42578125" style="34"/>
  </cols>
  <sheetData>
    <row r="1" spans="1:48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48" ht="28.5" customHeight="1" x14ac:dyDescent="0.25">
      <c r="A2" s="38"/>
      <c r="B2" s="365" t="s">
        <v>419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268"/>
      <c r="Q2" s="39"/>
    </row>
    <row r="3" spans="1:48" s="29" customFormat="1" ht="15" customHeight="1" x14ac:dyDescent="0.25">
      <c r="A3" s="3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9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s="29" customFormat="1" ht="15" customHeight="1" x14ac:dyDescent="0.25">
      <c r="A4" s="38"/>
      <c r="B4" s="258" t="s">
        <v>27</v>
      </c>
      <c r="C4" s="259"/>
      <c r="D4" s="272"/>
      <c r="E4" s="272"/>
      <c r="F4" s="272"/>
      <c r="G4" s="272"/>
      <c r="H4" s="272"/>
      <c r="I4" s="273"/>
      <c r="J4" s="30"/>
      <c r="K4" s="30"/>
      <c r="L4" s="30"/>
      <c r="M4" s="30"/>
      <c r="N4" s="30"/>
      <c r="O4" s="30"/>
      <c r="P4" s="30"/>
      <c r="Q4" s="39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29" customFormat="1" ht="15" customHeight="1" x14ac:dyDescent="0.25">
      <c r="A5" s="38"/>
      <c r="B5" s="266" t="s">
        <v>163</v>
      </c>
      <c r="C5" s="262"/>
      <c r="D5" s="262"/>
      <c r="E5" s="274"/>
      <c r="F5" s="274"/>
      <c r="G5" s="274"/>
      <c r="H5" s="274"/>
      <c r="I5" s="263"/>
      <c r="J5" s="30"/>
      <c r="K5" s="30"/>
      <c r="L5" s="30"/>
      <c r="M5" s="30"/>
      <c r="N5" s="30"/>
      <c r="O5" s="30"/>
      <c r="P5" s="30"/>
      <c r="Q5" s="39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s="29" customFormat="1" ht="15" customHeight="1" x14ac:dyDescent="0.25">
      <c r="A6" s="38"/>
      <c r="B6" s="261" t="s">
        <v>643</v>
      </c>
      <c r="C6" s="262"/>
      <c r="D6" s="262"/>
      <c r="E6" s="274"/>
      <c r="F6" s="274"/>
      <c r="G6" s="274"/>
      <c r="H6" s="274"/>
      <c r="I6" s="263"/>
      <c r="J6" s="30"/>
      <c r="K6" s="30"/>
      <c r="L6" s="30"/>
      <c r="M6" s="30"/>
      <c r="N6" s="30"/>
      <c r="O6" s="30"/>
      <c r="P6" s="30"/>
      <c r="Q6" s="39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29" customFormat="1" ht="15" customHeight="1" x14ac:dyDescent="0.25">
      <c r="A7" s="38"/>
      <c r="B7" s="261" t="s">
        <v>644</v>
      </c>
      <c r="C7" s="262"/>
      <c r="D7" s="262"/>
      <c r="E7" s="274"/>
      <c r="F7" s="274"/>
      <c r="G7" s="274"/>
      <c r="H7" s="274"/>
      <c r="I7" s="263"/>
      <c r="J7" s="30"/>
      <c r="K7" s="30"/>
      <c r="L7" s="30"/>
      <c r="M7" s="30"/>
      <c r="N7" s="30"/>
      <c r="O7" s="30"/>
      <c r="P7" s="30"/>
      <c r="Q7" s="39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29" customFormat="1" ht="15" customHeight="1" x14ac:dyDescent="0.25">
      <c r="A8" s="38"/>
      <c r="B8" s="261" t="s">
        <v>645</v>
      </c>
      <c r="C8" s="262"/>
      <c r="D8" s="262"/>
      <c r="E8" s="274"/>
      <c r="F8" s="274"/>
      <c r="G8" s="274"/>
      <c r="H8" s="274"/>
      <c r="I8" s="263"/>
      <c r="J8" s="30"/>
      <c r="K8" s="30"/>
      <c r="L8" s="30"/>
      <c r="M8" s="30"/>
      <c r="N8" s="30"/>
      <c r="O8" s="30"/>
      <c r="P8" s="30"/>
      <c r="Q8" s="39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29" customFormat="1" ht="15" customHeight="1" x14ac:dyDescent="0.25">
      <c r="A9" s="38"/>
      <c r="B9" s="269" t="s">
        <v>361</v>
      </c>
      <c r="C9" s="262"/>
      <c r="D9" s="262"/>
      <c r="E9" s="274"/>
      <c r="F9" s="274"/>
      <c r="G9" s="274"/>
      <c r="H9" s="274"/>
      <c r="I9" s="263"/>
      <c r="J9" s="30"/>
      <c r="K9" s="30"/>
      <c r="L9" s="30"/>
      <c r="M9" s="30"/>
      <c r="N9" s="30"/>
      <c r="O9" s="30"/>
      <c r="P9" s="30"/>
      <c r="Q9" s="39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29" customFormat="1" ht="15" customHeight="1" x14ac:dyDescent="0.25">
      <c r="A10" s="38"/>
      <c r="B10" s="270"/>
      <c r="C10" s="264"/>
      <c r="D10" s="264"/>
      <c r="E10" s="275"/>
      <c r="F10" s="275"/>
      <c r="G10" s="275"/>
      <c r="H10" s="275"/>
      <c r="I10" s="265"/>
      <c r="J10" s="30"/>
      <c r="K10" s="30"/>
      <c r="L10" s="30"/>
      <c r="M10" s="30"/>
      <c r="N10" s="30"/>
      <c r="O10" s="30"/>
      <c r="P10" s="30"/>
      <c r="Q10" s="39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s="29" customFormat="1" ht="15" customHeight="1" x14ac:dyDescent="0.25">
      <c r="A11" s="38"/>
      <c r="C11" s="30"/>
      <c r="E11" s="30"/>
      <c r="F11" s="30"/>
      <c r="G11" s="30"/>
      <c r="H11" s="30"/>
      <c r="J11" s="30"/>
      <c r="K11" s="30"/>
      <c r="L11" s="30"/>
      <c r="M11" s="30"/>
      <c r="N11" s="30"/>
      <c r="O11" s="30"/>
      <c r="P11" s="30"/>
      <c r="Q11" s="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s="29" customFormat="1" ht="15" customHeight="1" x14ac:dyDescent="0.35">
      <c r="A12" s="38"/>
      <c r="B12" s="76" t="s">
        <v>420</v>
      </c>
      <c r="C12" s="30"/>
      <c r="E12" s="30"/>
      <c r="F12" s="30"/>
      <c r="G12" s="30"/>
      <c r="H12" s="30"/>
      <c r="J12" s="30"/>
      <c r="K12" s="30"/>
      <c r="L12" s="30"/>
      <c r="M12" s="30"/>
      <c r="N12" s="30"/>
      <c r="O12" s="30"/>
      <c r="P12" s="30"/>
      <c r="Q12" s="3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29" customFormat="1" ht="15" customHeight="1" x14ac:dyDescent="0.35">
      <c r="A13" s="38"/>
      <c r="B13" s="76"/>
      <c r="C13" s="30"/>
      <c r="E13" s="30"/>
      <c r="F13" s="30"/>
      <c r="G13" s="30"/>
      <c r="H13" s="30"/>
      <c r="J13" s="30"/>
      <c r="K13" s="30"/>
      <c r="L13" s="30"/>
      <c r="M13" s="30"/>
      <c r="N13" s="30"/>
      <c r="O13" s="30"/>
      <c r="P13" s="30"/>
      <c r="Q13" s="39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s="29" customFormat="1" ht="15" customHeight="1" x14ac:dyDescent="0.25">
      <c r="A14" s="38"/>
      <c r="C14" s="286" t="s">
        <v>146</v>
      </c>
      <c r="D14" s="286" t="s">
        <v>147</v>
      </c>
      <c r="E14" s="286" t="s">
        <v>148</v>
      </c>
      <c r="F14" s="30"/>
      <c r="G14" s="30"/>
      <c r="H14" s="30"/>
      <c r="J14" s="30"/>
      <c r="K14" s="30"/>
      <c r="L14" s="30"/>
      <c r="M14" s="30"/>
      <c r="N14" s="30"/>
      <c r="O14" s="30"/>
      <c r="P14" s="30"/>
      <c r="Q14" s="39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s="29" customFormat="1" ht="15" customHeight="1" x14ac:dyDescent="0.25">
      <c r="A15" s="38"/>
      <c r="B15" s="182" t="s">
        <v>271</v>
      </c>
      <c r="C15" s="311"/>
      <c r="D15" s="311"/>
      <c r="E15" s="310"/>
      <c r="F15" s="30"/>
      <c r="G15" s="30"/>
      <c r="H15" s="30"/>
      <c r="J15" s="30"/>
      <c r="K15" s="30"/>
      <c r="L15" s="30"/>
      <c r="M15" s="30"/>
      <c r="N15" s="30"/>
      <c r="O15" s="30"/>
      <c r="P15" s="30"/>
      <c r="Q15" s="39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29" customFormat="1" ht="15" customHeight="1" x14ac:dyDescent="0.25">
      <c r="A16" s="38"/>
      <c r="C16" s="30"/>
      <c r="E16" s="30"/>
      <c r="F16" s="30"/>
      <c r="G16" s="30"/>
      <c r="H16" s="30"/>
      <c r="J16" s="30"/>
      <c r="K16" s="30"/>
      <c r="L16" s="30"/>
      <c r="M16" s="30"/>
      <c r="N16" s="30"/>
      <c r="O16" s="30"/>
      <c r="P16" s="30"/>
      <c r="Q16" s="39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29" customFormat="1" ht="15" customHeight="1" x14ac:dyDescent="0.25">
      <c r="A17" s="38"/>
      <c r="C17" s="30"/>
      <c r="E17" s="30"/>
      <c r="F17" s="30"/>
      <c r="G17" s="30"/>
      <c r="H17" s="30"/>
      <c r="J17" s="30"/>
      <c r="K17" s="30"/>
      <c r="L17" s="30"/>
      <c r="M17" s="30"/>
      <c r="N17" s="30"/>
      <c r="O17" s="30"/>
      <c r="P17" s="30"/>
      <c r="Q17" s="39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s="29" customFormat="1" ht="15" customHeight="1" x14ac:dyDescent="0.35">
      <c r="A18" s="38"/>
      <c r="B18" s="76" t="s">
        <v>88</v>
      </c>
      <c r="C18" s="30"/>
      <c r="E18" s="30"/>
      <c r="F18" s="30"/>
      <c r="G18" s="30"/>
      <c r="H18" s="30"/>
      <c r="J18" s="30"/>
      <c r="K18" s="30"/>
      <c r="L18" s="30"/>
      <c r="M18" s="30"/>
      <c r="N18" s="30"/>
      <c r="O18" s="30"/>
      <c r="P18" s="30"/>
      <c r="Q18" s="39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s="29" customFormat="1" ht="15" customHeight="1" x14ac:dyDescent="0.25">
      <c r="A19" s="38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9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ht="25.5" x14ac:dyDescent="0.25">
      <c r="A20" s="38"/>
      <c r="B20" s="45" t="s">
        <v>146</v>
      </c>
      <c r="C20" s="46" t="s">
        <v>149</v>
      </c>
      <c r="D20" s="46" t="s">
        <v>150</v>
      </c>
      <c r="E20" s="46" t="s">
        <v>151</v>
      </c>
      <c r="F20" s="46" t="s">
        <v>152</v>
      </c>
      <c r="G20" s="46" t="s">
        <v>153</v>
      </c>
      <c r="H20" s="46" t="s">
        <v>154</v>
      </c>
      <c r="I20" s="46" t="s">
        <v>155</v>
      </c>
      <c r="J20" s="46" t="s">
        <v>156</v>
      </c>
      <c r="K20" s="46" t="s">
        <v>157</v>
      </c>
      <c r="L20" s="46" t="s">
        <v>158</v>
      </c>
      <c r="M20" s="46" t="s">
        <v>159</v>
      </c>
      <c r="N20" s="46" t="s">
        <v>160</v>
      </c>
      <c r="O20" s="105" t="s">
        <v>30</v>
      </c>
      <c r="P20" s="105" t="s">
        <v>435</v>
      </c>
      <c r="Q20" s="39"/>
    </row>
    <row r="21" spans="1:48" x14ac:dyDescent="0.25">
      <c r="A21" s="38"/>
      <c r="B21" s="319" t="s">
        <v>424</v>
      </c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5">
        <v>0.2</v>
      </c>
      <c r="P21" s="187">
        <f>SUM(C21:N21)</f>
        <v>0</v>
      </c>
      <c r="Q21" s="39"/>
    </row>
    <row r="22" spans="1:48" x14ac:dyDescent="0.25">
      <c r="A22" s="38"/>
      <c r="B22" s="319" t="s">
        <v>425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298">
        <v>0.2</v>
      </c>
      <c r="P22" s="187">
        <f t="shared" ref="P22:P30" si="0">SUM(C22:N22)</f>
        <v>0</v>
      </c>
      <c r="Q22" s="39"/>
    </row>
    <row r="23" spans="1:48" x14ac:dyDescent="0.25">
      <c r="A23" s="38"/>
      <c r="B23" s="319" t="s">
        <v>426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298">
        <v>0.2</v>
      </c>
      <c r="P23" s="187">
        <f t="shared" si="0"/>
        <v>0</v>
      </c>
      <c r="Q23" s="39"/>
    </row>
    <row r="24" spans="1:48" x14ac:dyDescent="0.25">
      <c r="A24" s="38"/>
      <c r="B24" s="319" t="s">
        <v>427</v>
      </c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298">
        <v>0.2</v>
      </c>
      <c r="P24" s="187">
        <f t="shared" si="0"/>
        <v>0</v>
      </c>
      <c r="Q24" s="39"/>
    </row>
    <row r="25" spans="1:48" x14ac:dyDescent="0.25">
      <c r="A25" s="38"/>
      <c r="B25" s="319" t="s">
        <v>428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298">
        <v>0.2</v>
      </c>
      <c r="P25" s="187">
        <f t="shared" si="0"/>
        <v>0</v>
      </c>
      <c r="Q25" s="39"/>
    </row>
    <row r="26" spans="1:48" x14ac:dyDescent="0.25">
      <c r="A26" s="38"/>
      <c r="B26" s="319" t="s">
        <v>429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298">
        <v>0.2</v>
      </c>
      <c r="P26" s="187">
        <f t="shared" si="0"/>
        <v>0</v>
      </c>
      <c r="Q26" s="39"/>
    </row>
    <row r="27" spans="1:48" x14ac:dyDescent="0.25">
      <c r="A27" s="38"/>
      <c r="B27" s="319" t="s">
        <v>430</v>
      </c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298">
        <v>0.2</v>
      </c>
      <c r="P27" s="187">
        <f t="shared" si="0"/>
        <v>0</v>
      </c>
      <c r="Q27" s="39"/>
    </row>
    <row r="28" spans="1:48" x14ac:dyDescent="0.25">
      <c r="A28" s="38"/>
      <c r="B28" s="319" t="s">
        <v>431</v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298">
        <v>0.2</v>
      </c>
      <c r="P28" s="187">
        <f t="shared" si="0"/>
        <v>0</v>
      </c>
      <c r="Q28" s="39"/>
    </row>
    <row r="29" spans="1:48" x14ac:dyDescent="0.25">
      <c r="A29" s="38"/>
      <c r="B29" s="319" t="s">
        <v>432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298">
        <v>0.2</v>
      </c>
      <c r="P29" s="187">
        <f t="shared" si="0"/>
        <v>0</v>
      </c>
      <c r="Q29" s="39"/>
    </row>
    <row r="30" spans="1:48" x14ac:dyDescent="0.25">
      <c r="A30" s="38"/>
      <c r="B30" s="319" t="s">
        <v>433</v>
      </c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298">
        <v>0.2</v>
      </c>
      <c r="P30" s="187">
        <f t="shared" si="0"/>
        <v>0</v>
      </c>
      <c r="Q30" s="39"/>
    </row>
    <row r="31" spans="1:48" s="28" customFormat="1" ht="18.75" customHeight="1" x14ac:dyDescent="0.25">
      <c r="A31" s="40"/>
      <c r="B31" s="51" t="s">
        <v>434</v>
      </c>
      <c r="C31" s="58">
        <f t="shared" ref="C31:N31" si="1">SUM(C21:C30)</f>
        <v>0</v>
      </c>
      <c r="D31" s="58">
        <f t="shared" si="1"/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  <c r="H31" s="58">
        <f t="shared" si="1"/>
        <v>0</v>
      </c>
      <c r="I31" s="58">
        <f t="shared" si="1"/>
        <v>0</v>
      </c>
      <c r="J31" s="58">
        <f t="shared" si="1"/>
        <v>0</v>
      </c>
      <c r="K31" s="58">
        <f t="shared" si="1"/>
        <v>0</v>
      </c>
      <c r="L31" s="58">
        <f t="shared" si="1"/>
        <v>0</v>
      </c>
      <c r="M31" s="58">
        <f t="shared" si="1"/>
        <v>0</v>
      </c>
      <c r="N31" s="58">
        <f t="shared" si="1"/>
        <v>0</v>
      </c>
      <c r="O31" s="287"/>
      <c r="P31" s="58">
        <f>SUM(P21:P30)</f>
        <v>0</v>
      </c>
      <c r="Q31" s="41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</row>
    <row r="32" spans="1:48" s="29" customFormat="1" ht="15" customHeight="1" x14ac:dyDescent="0.25">
      <c r="A32" s="3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9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ht="25.5" x14ac:dyDescent="0.25">
      <c r="A33" s="38"/>
      <c r="B33" s="45" t="s">
        <v>147</v>
      </c>
      <c r="C33" s="46" t="s">
        <v>149</v>
      </c>
      <c r="D33" s="46" t="s">
        <v>150</v>
      </c>
      <c r="E33" s="46" t="s">
        <v>151</v>
      </c>
      <c r="F33" s="46" t="s">
        <v>152</v>
      </c>
      <c r="G33" s="46" t="s">
        <v>153</v>
      </c>
      <c r="H33" s="46" t="s">
        <v>154</v>
      </c>
      <c r="I33" s="46" t="s">
        <v>155</v>
      </c>
      <c r="J33" s="46" t="s">
        <v>156</v>
      </c>
      <c r="K33" s="46" t="s">
        <v>157</v>
      </c>
      <c r="L33" s="46" t="s">
        <v>158</v>
      </c>
      <c r="M33" s="46" t="s">
        <v>159</v>
      </c>
      <c r="N33" s="46" t="s">
        <v>160</v>
      </c>
      <c r="O33" s="105" t="s">
        <v>30</v>
      </c>
      <c r="P33" s="105" t="s">
        <v>435</v>
      </c>
      <c r="Q33" s="39"/>
    </row>
    <row r="34" spans="1:48" x14ac:dyDescent="0.25">
      <c r="A34" s="38"/>
      <c r="B34" s="319" t="s">
        <v>424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5">
        <v>0.2</v>
      </c>
      <c r="P34" s="187">
        <f>SUM(C34:N34)</f>
        <v>0</v>
      </c>
      <c r="Q34" s="39"/>
    </row>
    <row r="35" spans="1:48" x14ac:dyDescent="0.25">
      <c r="A35" s="38"/>
      <c r="B35" s="319" t="s">
        <v>425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298">
        <v>0.2</v>
      </c>
      <c r="P35" s="187">
        <f t="shared" ref="P35:P43" si="2">SUM(C35:N35)</f>
        <v>0</v>
      </c>
      <c r="Q35" s="39"/>
    </row>
    <row r="36" spans="1:48" x14ac:dyDescent="0.25">
      <c r="A36" s="38"/>
      <c r="B36" s="319" t="s">
        <v>426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298">
        <v>0.2</v>
      </c>
      <c r="P36" s="187">
        <f t="shared" si="2"/>
        <v>0</v>
      </c>
      <c r="Q36" s="39"/>
    </row>
    <row r="37" spans="1:48" x14ac:dyDescent="0.25">
      <c r="A37" s="38"/>
      <c r="B37" s="319" t="s">
        <v>427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298">
        <v>0.2</v>
      </c>
      <c r="P37" s="187">
        <f t="shared" si="2"/>
        <v>0</v>
      </c>
      <c r="Q37" s="39"/>
    </row>
    <row r="38" spans="1:48" x14ac:dyDescent="0.25">
      <c r="A38" s="38"/>
      <c r="B38" s="319" t="s">
        <v>428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298">
        <v>0.2</v>
      </c>
      <c r="P38" s="187">
        <f t="shared" si="2"/>
        <v>0</v>
      </c>
      <c r="Q38" s="39"/>
    </row>
    <row r="39" spans="1:48" x14ac:dyDescent="0.25">
      <c r="A39" s="38"/>
      <c r="B39" s="319" t="s">
        <v>429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298">
        <v>0.2</v>
      </c>
      <c r="P39" s="187">
        <f t="shared" si="2"/>
        <v>0</v>
      </c>
      <c r="Q39" s="39"/>
    </row>
    <row r="40" spans="1:48" x14ac:dyDescent="0.25">
      <c r="A40" s="38"/>
      <c r="B40" s="319" t="s">
        <v>430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298">
        <v>0.2</v>
      </c>
      <c r="P40" s="187">
        <f t="shared" si="2"/>
        <v>0</v>
      </c>
      <c r="Q40" s="39"/>
    </row>
    <row r="41" spans="1:48" x14ac:dyDescent="0.25">
      <c r="A41" s="38"/>
      <c r="B41" s="319" t="s">
        <v>431</v>
      </c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298">
        <v>0.2</v>
      </c>
      <c r="P41" s="187">
        <f t="shared" si="2"/>
        <v>0</v>
      </c>
      <c r="Q41" s="39"/>
    </row>
    <row r="42" spans="1:48" x14ac:dyDescent="0.25">
      <c r="A42" s="38"/>
      <c r="B42" s="319" t="s">
        <v>432</v>
      </c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298">
        <v>0.2</v>
      </c>
      <c r="P42" s="187">
        <f t="shared" si="2"/>
        <v>0</v>
      </c>
      <c r="Q42" s="39"/>
    </row>
    <row r="43" spans="1:48" x14ac:dyDescent="0.25">
      <c r="A43" s="38"/>
      <c r="B43" s="319" t="s">
        <v>433</v>
      </c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298">
        <v>0.2</v>
      </c>
      <c r="P43" s="187">
        <f t="shared" si="2"/>
        <v>0</v>
      </c>
      <c r="Q43" s="39"/>
    </row>
    <row r="44" spans="1:48" s="28" customFormat="1" ht="18.75" customHeight="1" x14ac:dyDescent="0.25">
      <c r="A44" s="40"/>
      <c r="B44" s="51" t="s">
        <v>434</v>
      </c>
      <c r="C44" s="58">
        <f t="shared" ref="C44:N44" si="3">SUM(C34:C43)</f>
        <v>0</v>
      </c>
      <c r="D44" s="58">
        <f t="shared" si="3"/>
        <v>0</v>
      </c>
      <c r="E44" s="58">
        <f t="shared" si="3"/>
        <v>0</v>
      </c>
      <c r="F44" s="58">
        <f t="shared" si="3"/>
        <v>0</v>
      </c>
      <c r="G44" s="58">
        <f t="shared" si="3"/>
        <v>0</v>
      </c>
      <c r="H44" s="58">
        <f t="shared" si="3"/>
        <v>0</v>
      </c>
      <c r="I44" s="58">
        <f t="shared" si="3"/>
        <v>0</v>
      </c>
      <c r="J44" s="58">
        <f t="shared" si="3"/>
        <v>0</v>
      </c>
      <c r="K44" s="58">
        <f t="shared" si="3"/>
        <v>0</v>
      </c>
      <c r="L44" s="58">
        <f t="shared" si="3"/>
        <v>0</v>
      </c>
      <c r="M44" s="58">
        <f t="shared" si="3"/>
        <v>0</v>
      </c>
      <c r="N44" s="58">
        <f t="shared" si="3"/>
        <v>0</v>
      </c>
      <c r="O44" s="287"/>
      <c r="P44" s="58">
        <f>SUM(P34:P43)</f>
        <v>0</v>
      </c>
      <c r="Q44" s="41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</row>
    <row r="45" spans="1:48" s="29" customFormat="1" ht="15" customHeight="1" x14ac:dyDescent="0.25">
      <c r="A45" s="3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9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</row>
    <row r="46" spans="1:48" ht="25.5" x14ac:dyDescent="0.25">
      <c r="A46" s="38"/>
      <c r="B46" s="45" t="s">
        <v>148</v>
      </c>
      <c r="C46" s="46" t="s">
        <v>149</v>
      </c>
      <c r="D46" s="46" t="s">
        <v>150</v>
      </c>
      <c r="E46" s="46" t="s">
        <v>151</v>
      </c>
      <c r="F46" s="46" t="s">
        <v>152</v>
      </c>
      <c r="G46" s="46" t="s">
        <v>153</v>
      </c>
      <c r="H46" s="46" t="s">
        <v>154</v>
      </c>
      <c r="I46" s="46" t="s">
        <v>155</v>
      </c>
      <c r="J46" s="46" t="s">
        <v>156</v>
      </c>
      <c r="K46" s="46" t="s">
        <v>157</v>
      </c>
      <c r="L46" s="46" t="s">
        <v>158</v>
      </c>
      <c r="M46" s="46" t="s">
        <v>159</v>
      </c>
      <c r="N46" s="46" t="s">
        <v>160</v>
      </c>
      <c r="O46" s="105" t="s">
        <v>30</v>
      </c>
      <c r="P46" s="105" t="s">
        <v>435</v>
      </c>
      <c r="Q46" s="39"/>
    </row>
    <row r="47" spans="1:48" x14ac:dyDescent="0.25">
      <c r="A47" s="38"/>
      <c r="B47" s="319" t="s">
        <v>424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5">
        <v>0.2</v>
      </c>
      <c r="P47" s="187">
        <f>SUM(C47:N47)</f>
        <v>0</v>
      </c>
      <c r="Q47" s="39"/>
    </row>
    <row r="48" spans="1:48" x14ac:dyDescent="0.25">
      <c r="A48" s="38"/>
      <c r="B48" s="319" t="s">
        <v>425</v>
      </c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298">
        <v>0.2</v>
      </c>
      <c r="P48" s="187">
        <f t="shared" ref="P48:P56" si="4">SUM(C48:N48)</f>
        <v>0</v>
      </c>
      <c r="Q48" s="39"/>
    </row>
    <row r="49" spans="1:48" x14ac:dyDescent="0.25">
      <c r="A49" s="38"/>
      <c r="B49" s="319" t="s">
        <v>426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298">
        <v>0.2</v>
      </c>
      <c r="P49" s="187">
        <f t="shared" si="4"/>
        <v>0</v>
      </c>
      <c r="Q49" s="39"/>
    </row>
    <row r="50" spans="1:48" x14ac:dyDescent="0.25">
      <c r="A50" s="38"/>
      <c r="B50" s="319" t="s">
        <v>427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298">
        <v>0.2</v>
      </c>
      <c r="P50" s="187">
        <f t="shared" si="4"/>
        <v>0</v>
      </c>
      <c r="Q50" s="39"/>
    </row>
    <row r="51" spans="1:48" x14ac:dyDescent="0.25">
      <c r="A51" s="38"/>
      <c r="B51" s="319" t="s">
        <v>428</v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298">
        <v>0.2</v>
      </c>
      <c r="P51" s="187">
        <f t="shared" si="4"/>
        <v>0</v>
      </c>
      <c r="Q51" s="39"/>
    </row>
    <row r="52" spans="1:48" x14ac:dyDescent="0.25">
      <c r="A52" s="38"/>
      <c r="B52" s="319" t="s">
        <v>429</v>
      </c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298">
        <v>0.2</v>
      </c>
      <c r="P52" s="187">
        <f t="shared" si="4"/>
        <v>0</v>
      </c>
      <c r="Q52" s="39"/>
    </row>
    <row r="53" spans="1:48" x14ac:dyDescent="0.25">
      <c r="A53" s="38"/>
      <c r="B53" s="319" t="s">
        <v>430</v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298">
        <v>0.2</v>
      </c>
      <c r="P53" s="187">
        <f t="shared" si="4"/>
        <v>0</v>
      </c>
      <c r="Q53" s="39"/>
    </row>
    <row r="54" spans="1:48" x14ac:dyDescent="0.25">
      <c r="A54" s="38"/>
      <c r="B54" s="319" t="s">
        <v>431</v>
      </c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298">
        <v>0.2</v>
      </c>
      <c r="P54" s="187">
        <f t="shared" si="4"/>
        <v>0</v>
      </c>
      <c r="Q54" s="39"/>
    </row>
    <row r="55" spans="1:48" x14ac:dyDescent="0.25">
      <c r="A55" s="38"/>
      <c r="B55" s="319" t="s">
        <v>432</v>
      </c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298">
        <v>0.2</v>
      </c>
      <c r="P55" s="187">
        <f t="shared" si="4"/>
        <v>0</v>
      </c>
      <c r="Q55" s="39"/>
    </row>
    <row r="56" spans="1:48" x14ac:dyDescent="0.25">
      <c r="A56" s="38"/>
      <c r="B56" s="319" t="s">
        <v>433</v>
      </c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298">
        <v>0.2</v>
      </c>
      <c r="P56" s="187">
        <f t="shared" si="4"/>
        <v>0</v>
      </c>
      <c r="Q56" s="39"/>
    </row>
    <row r="57" spans="1:48" s="28" customFormat="1" ht="18.75" customHeight="1" x14ac:dyDescent="0.25">
      <c r="A57" s="40"/>
      <c r="B57" s="51" t="s">
        <v>434</v>
      </c>
      <c r="C57" s="58">
        <f t="shared" ref="C57:N57" si="5">SUM(C47:C56)</f>
        <v>0</v>
      </c>
      <c r="D57" s="58">
        <f t="shared" si="5"/>
        <v>0</v>
      </c>
      <c r="E57" s="58">
        <f t="shared" si="5"/>
        <v>0</v>
      </c>
      <c r="F57" s="58">
        <f t="shared" si="5"/>
        <v>0</v>
      </c>
      <c r="G57" s="58">
        <f t="shared" si="5"/>
        <v>0</v>
      </c>
      <c r="H57" s="58">
        <f t="shared" si="5"/>
        <v>0</v>
      </c>
      <c r="I57" s="58">
        <f t="shared" si="5"/>
        <v>0</v>
      </c>
      <c r="J57" s="58">
        <f t="shared" si="5"/>
        <v>0</v>
      </c>
      <c r="K57" s="58">
        <f t="shared" si="5"/>
        <v>0</v>
      </c>
      <c r="L57" s="58">
        <f t="shared" si="5"/>
        <v>0</v>
      </c>
      <c r="M57" s="58">
        <f t="shared" si="5"/>
        <v>0</v>
      </c>
      <c r="N57" s="58">
        <f t="shared" si="5"/>
        <v>0</v>
      </c>
      <c r="O57" s="287"/>
      <c r="P57" s="58">
        <f>SUM(P47:P56)</f>
        <v>0</v>
      </c>
      <c r="Q57" s="41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</row>
    <row r="58" spans="1:48" s="29" customFormat="1" ht="15" customHeight="1" x14ac:dyDescent="0.25">
      <c r="A58" s="38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9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s="29" customFormat="1" ht="15" customHeight="1" x14ac:dyDescent="0.35">
      <c r="A59" s="38"/>
      <c r="B59" s="76" t="s">
        <v>84</v>
      </c>
      <c r="C59" s="30"/>
      <c r="E59" s="30"/>
      <c r="F59" s="30"/>
      <c r="G59" s="30"/>
      <c r="H59" s="30"/>
      <c r="J59" s="30"/>
      <c r="K59" s="30"/>
      <c r="L59" s="30"/>
      <c r="M59" s="30"/>
      <c r="N59" s="30"/>
      <c r="O59" s="30"/>
      <c r="P59" s="30"/>
      <c r="Q59" s="39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1:48" s="29" customFormat="1" ht="15" customHeight="1" x14ac:dyDescent="0.25">
      <c r="A60" s="38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9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ht="25.5" x14ac:dyDescent="0.25">
      <c r="A61" s="38"/>
      <c r="B61" s="45" t="s">
        <v>146</v>
      </c>
      <c r="C61" s="46" t="s">
        <v>149</v>
      </c>
      <c r="D61" s="46" t="s">
        <v>150</v>
      </c>
      <c r="E61" s="46" t="s">
        <v>151</v>
      </c>
      <c r="F61" s="46" t="s">
        <v>152</v>
      </c>
      <c r="G61" s="46" t="s">
        <v>153</v>
      </c>
      <c r="H61" s="46" t="s">
        <v>154</v>
      </c>
      <c r="I61" s="46" t="s">
        <v>155</v>
      </c>
      <c r="J61" s="46" t="s">
        <v>156</v>
      </c>
      <c r="K61" s="46" t="s">
        <v>157</v>
      </c>
      <c r="L61" s="46" t="s">
        <v>158</v>
      </c>
      <c r="M61" s="46" t="s">
        <v>159</v>
      </c>
      <c r="N61" s="46" t="s">
        <v>160</v>
      </c>
      <c r="O61" s="105" t="s">
        <v>30</v>
      </c>
      <c r="P61" s="105" t="s">
        <v>435</v>
      </c>
      <c r="Q61" s="39"/>
    </row>
    <row r="62" spans="1:48" x14ac:dyDescent="0.25">
      <c r="A62" s="38"/>
      <c r="B62" s="319" t="s">
        <v>442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5">
        <v>0.2</v>
      </c>
      <c r="P62" s="187">
        <f>SUM(C62:N62)</f>
        <v>0</v>
      </c>
      <c r="Q62" s="39"/>
    </row>
    <row r="63" spans="1:48" x14ac:dyDescent="0.25">
      <c r="A63" s="38"/>
      <c r="B63" s="319" t="s">
        <v>443</v>
      </c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298">
        <v>0.2</v>
      </c>
      <c r="P63" s="187">
        <f t="shared" ref="P63:P71" si="6">SUM(C63:N63)</f>
        <v>0</v>
      </c>
      <c r="Q63" s="39"/>
    </row>
    <row r="64" spans="1:48" x14ac:dyDescent="0.25">
      <c r="A64" s="38"/>
      <c r="B64" s="319" t="s">
        <v>444</v>
      </c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298">
        <v>0.2</v>
      </c>
      <c r="P64" s="187">
        <f t="shared" si="6"/>
        <v>0</v>
      </c>
      <c r="Q64" s="39"/>
    </row>
    <row r="65" spans="1:48" x14ac:dyDescent="0.25">
      <c r="A65" s="38"/>
      <c r="B65" s="319" t="s">
        <v>445</v>
      </c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298">
        <v>0.2</v>
      </c>
      <c r="P65" s="187">
        <f t="shared" si="6"/>
        <v>0</v>
      </c>
      <c r="Q65" s="39"/>
    </row>
    <row r="66" spans="1:48" x14ac:dyDescent="0.25">
      <c r="A66" s="38"/>
      <c r="B66" s="319" t="s">
        <v>446</v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298">
        <v>0.2</v>
      </c>
      <c r="P66" s="187">
        <f t="shared" si="6"/>
        <v>0</v>
      </c>
      <c r="Q66" s="39"/>
    </row>
    <row r="67" spans="1:48" x14ac:dyDescent="0.25">
      <c r="A67" s="38"/>
      <c r="B67" s="319" t="s">
        <v>447</v>
      </c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298">
        <v>0.2</v>
      </c>
      <c r="P67" s="187">
        <f t="shared" si="6"/>
        <v>0</v>
      </c>
      <c r="Q67" s="39"/>
    </row>
    <row r="68" spans="1:48" x14ac:dyDescent="0.25">
      <c r="A68" s="38"/>
      <c r="B68" s="319" t="s">
        <v>448</v>
      </c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298">
        <v>0.2</v>
      </c>
      <c r="P68" s="187">
        <f t="shared" si="6"/>
        <v>0</v>
      </c>
      <c r="Q68" s="39"/>
    </row>
    <row r="69" spans="1:48" x14ac:dyDescent="0.25">
      <c r="A69" s="38"/>
      <c r="B69" s="319" t="s">
        <v>449</v>
      </c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298">
        <v>0.2</v>
      </c>
      <c r="P69" s="187">
        <f t="shared" si="6"/>
        <v>0</v>
      </c>
      <c r="Q69" s="39"/>
    </row>
    <row r="70" spans="1:48" x14ac:dyDescent="0.25">
      <c r="A70" s="38"/>
      <c r="B70" s="319" t="s">
        <v>450</v>
      </c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298">
        <v>0.2</v>
      </c>
      <c r="P70" s="187">
        <f t="shared" si="6"/>
        <v>0</v>
      </c>
      <c r="Q70" s="39"/>
    </row>
    <row r="71" spans="1:48" x14ac:dyDescent="0.25">
      <c r="A71" s="38"/>
      <c r="B71" s="319" t="s">
        <v>451</v>
      </c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298">
        <v>0.2</v>
      </c>
      <c r="P71" s="187">
        <f t="shared" si="6"/>
        <v>0</v>
      </c>
      <c r="Q71" s="39"/>
    </row>
    <row r="72" spans="1:48" s="28" customFormat="1" ht="18.75" customHeight="1" x14ac:dyDescent="0.25">
      <c r="A72" s="40"/>
      <c r="B72" s="51" t="s">
        <v>452</v>
      </c>
      <c r="C72" s="58">
        <f t="shared" ref="C72:N72" si="7">SUM(C62:C71)</f>
        <v>0</v>
      </c>
      <c r="D72" s="58">
        <f t="shared" si="7"/>
        <v>0</v>
      </c>
      <c r="E72" s="58">
        <f t="shared" si="7"/>
        <v>0</v>
      </c>
      <c r="F72" s="58">
        <f t="shared" si="7"/>
        <v>0</v>
      </c>
      <c r="G72" s="58">
        <f t="shared" si="7"/>
        <v>0</v>
      </c>
      <c r="H72" s="58">
        <f t="shared" si="7"/>
        <v>0</v>
      </c>
      <c r="I72" s="58">
        <f t="shared" si="7"/>
        <v>0</v>
      </c>
      <c r="J72" s="58">
        <f t="shared" si="7"/>
        <v>0</v>
      </c>
      <c r="K72" s="58">
        <f t="shared" si="7"/>
        <v>0</v>
      </c>
      <c r="L72" s="58">
        <f t="shared" si="7"/>
        <v>0</v>
      </c>
      <c r="M72" s="58">
        <f t="shared" si="7"/>
        <v>0</v>
      </c>
      <c r="N72" s="58">
        <f t="shared" si="7"/>
        <v>0</v>
      </c>
      <c r="O72" s="287"/>
      <c r="P72" s="58">
        <f>SUM(P62:P71)</f>
        <v>0</v>
      </c>
      <c r="Q72" s="41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</row>
    <row r="73" spans="1:48" s="29" customFormat="1" ht="15" customHeight="1" x14ac:dyDescent="0.25">
      <c r="A73" s="38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9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48" ht="25.5" x14ac:dyDescent="0.25">
      <c r="A74" s="38"/>
      <c r="B74" s="45" t="s">
        <v>147</v>
      </c>
      <c r="C74" s="46" t="s">
        <v>149</v>
      </c>
      <c r="D74" s="46" t="s">
        <v>150</v>
      </c>
      <c r="E74" s="46" t="s">
        <v>151</v>
      </c>
      <c r="F74" s="46" t="s">
        <v>152</v>
      </c>
      <c r="G74" s="46" t="s">
        <v>153</v>
      </c>
      <c r="H74" s="46" t="s">
        <v>154</v>
      </c>
      <c r="I74" s="46" t="s">
        <v>155</v>
      </c>
      <c r="J74" s="46" t="s">
        <v>156</v>
      </c>
      <c r="K74" s="46" t="s">
        <v>157</v>
      </c>
      <c r="L74" s="46" t="s">
        <v>158</v>
      </c>
      <c r="M74" s="46" t="s">
        <v>159</v>
      </c>
      <c r="N74" s="46" t="s">
        <v>160</v>
      </c>
      <c r="O74" s="105" t="s">
        <v>30</v>
      </c>
      <c r="P74" s="105" t="s">
        <v>435</v>
      </c>
      <c r="Q74" s="39"/>
    </row>
    <row r="75" spans="1:48" x14ac:dyDescent="0.25">
      <c r="A75" s="38"/>
      <c r="B75" s="319" t="s">
        <v>442</v>
      </c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5">
        <v>0.2</v>
      </c>
      <c r="P75" s="187">
        <f>SUM(C75:N75)</f>
        <v>0</v>
      </c>
      <c r="Q75" s="39"/>
    </row>
    <row r="76" spans="1:48" x14ac:dyDescent="0.25">
      <c r="A76" s="38"/>
      <c r="B76" s="319" t="s">
        <v>443</v>
      </c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298">
        <v>0.2</v>
      </c>
      <c r="P76" s="187">
        <f t="shared" ref="P76:P84" si="8">SUM(C76:N76)</f>
        <v>0</v>
      </c>
      <c r="Q76" s="39"/>
    </row>
    <row r="77" spans="1:48" x14ac:dyDescent="0.25">
      <c r="A77" s="38"/>
      <c r="B77" s="319" t="s">
        <v>444</v>
      </c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298">
        <v>0.2</v>
      </c>
      <c r="P77" s="187">
        <f t="shared" si="8"/>
        <v>0</v>
      </c>
      <c r="Q77" s="39"/>
    </row>
    <row r="78" spans="1:48" x14ac:dyDescent="0.25">
      <c r="A78" s="38"/>
      <c r="B78" s="319" t="s">
        <v>445</v>
      </c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298">
        <v>0.2</v>
      </c>
      <c r="P78" s="187">
        <f t="shared" si="8"/>
        <v>0</v>
      </c>
      <c r="Q78" s="39"/>
    </row>
    <row r="79" spans="1:48" x14ac:dyDescent="0.25">
      <c r="A79" s="38"/>
      <c r="B79" s="319" t="s">
        <v>446</v>
      </c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298">
        <v>0.2</v>
      </c>
      <c r="P79" s="187">
        <f t="shared" si="8"/>
        <v>0</v>
      </c>
      <c r="Q79" s="39"/>
    </row>
    <row r="80" spans="1:48" x14ac:dyDescent="0.25">
      <c r="A80" s="38"/>
      <c r="B80" s="319" t="s">
        <v>447</v>
      </c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298">
        <v>0.2</v>
      </c>
      <c r="P80" s="187">
        <f t="shared" si="8"/>
        <v>0</v>
      </c>
      <c r="Q80" s="39"/>
    </row>
    <row r="81" spans="1:48" x14ac:dyDescent="0.25">
      <c r="A81" s="38"/>
      <c r="B81" s="319" t="s">
        <v>448</v>
      </c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298">
        <v>0.2</v>
      </c>
      <c r="P81" s="187">
        <f t="shared" si="8"/>
        <v>0</v>
      </c>
      <c r="Q81" s="39"/>
    </row>
    <row r="82" spans="1:48" x14ac:dyDescent="0.25">
      <c r="A82" s="38"/>
      <c r="B82" s="319" t="s">
        <v>449</v>
      </c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298">
        <v>0.2</v>
      </c>
      <c r="P82" s="187">
        <f t="shared" si="8"/>
        <v>0</v>
      </c>
      <c r="Q82" s="39"/>
    </row>
    <row r="83" spans="1:48" x14ac:dyDescent="0.25">
      <c r="A83" s="38"/>
      <c r="B83" s="319" t="s">
        <v>450</v>
      </c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298">
        <v>0.2</v>
      </c>
      <c r="P83" s="187">
        <f t="shared" si="8"/>
        <v>0</v>
      </c>
      <c r="Q83" s="39"/>
    </row>
    <row r="84" spans="1:48" x14ac:dyDescent="0.25">
      <c r="A84" s="38"/>
      <c r="B84" s="319" t="s">
        <v>451</v>
      </c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298">
        <v>0.2</v>
      </c>
      <c r="P84" s="187">
        <f t="shared" si="8"/>
        <v>0</v>
      </c>
      <c r="Q84" s="39"/>
    </row>
    <row r="85" spans="1:48" s="28" customFormat="1" ht="18.75" customHeight="1" x14ac:dyDescent="0.25">
      <c r="A85" s="40"/>
      <c r="B85" s="51" t="s">
        <v>452</v>
      </c>
      <c r="C85" s="58">
        <f t="shared" ref="C85:N85" si="9">SUM(C75:C84)</f>
        <v>0</v>
      </c>
      <c r="D85" s="58">
        <f t="shared" si="9"/>
        <v>0</v>
      </c>
      <c r="E85" s="58">
        <f t="shared" si="9"/>
        <v>0</v>
      </c>
      <c r="F85" s="58">
        <f t="shared" si="9"/>
        <v>0</v>
      </c>
      <c r="G85" s="58">
        <f t="shared" si="9"/>
        <v>0</v>
      </c>
      <c r="H85" s="58">
        <f t="shared" si="9"/>
        <v>0</v>
      </c>
      <c r="I85" s="58">
        <f t="shared" si="9"/>
        <v>0</v>
      </c>
      <c r="J85" s="58">
        <f t="shared" si="9"/>
        <v>0</v>
      </c>
      <c r="K85" s="58">
        <f t="shared" si="9"/>
        <v>0</v>
      </c>
      <c r="L85" s="58">
        <f t="shared" si="9"/>
        <v>0</v>
      </c>
      <c r="M85" s="58">
        <f t="shared" si="9"/>
        <v>0</v>
      </c>
      <c r="N85" s="58">
        <f t="shared" si="9"/>
        <v>0</v>
      </c>
      <c r="O85" s="287"/>
      <c r="P85" s="58">
        <f>SUM(P75:P84)</f>
        <v>0</v>
      </c>
      <c r="Q85" s="41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</row>
    <row r="86" spans="1:48" s="29" customFormat="1" ht="15" customHeight="1" x14ac:dyDescent="0.25">
      <c r="A86" s="38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9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</row>
    <row r="87" spans="1:48" ht="25.5" x14ac:dyDescent="0.25">
      <c r="A87" s="38"/>
      <c r="B87" s="45" t="s">
        <v>148</v>
      </c>
      <c r="C87" s="46" t="s">
        <v>149</v>
      </c>
      <c r="D87" s="46" t="s">
        <v>150</v>
      </c>
      <c r="E87" s="46" t="s">
        <v>151</v>
      </c>
      <c r="F87" s="46" t="s">
        <v>152</v>
      </c>
      <c r="G87" s="46" t="s">
        <v>153</v>
      </c>
      <c r="H87" s="46" t="s">
        <v>154</v>
      </c>
      <c r="I87" s="46" t="s">
        <v>155</v>
      </c>
      <c r="J87" s="46" t="s">
        <v>156</v>
      </c>
      <c r="K87" s="46" t="s">
        <v>157</v>
      </c>
      <c r="L87" s="46" t="s">
        <v>158</v>
      </c>
      <c r="M87" s="46" t="s">
        <v>159</v>
      </c>
      <c r="N87" s="46" t="s">
        <v>160</v>
      </c>
      <c r="O87" s="105" t="s">
        <v>30</v>
      </c>
      <c r="P87" s="105" t="s">
        <v>435</v>
      </c>
      <c r="Q87" s="39"/>
    </row>
    <row r="88" spans="1:48" x14ac:dyDescent="0.25">
      <c r="A88" s="38"/>
      <c r="B88" s="319" t="s">
        <v>442</v>
      </c>
      <c r="C88" s="317"/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5">
        <v>0.2</v>
      </c>
      <c r="P88" s="187">
        <f>SUM(C88:N88)</f>
        <v>0</v>
      </c>
      <c r="Q88" s="39"/>
    </row>
    <row r="89" spans="1:48" x14ac:dyDescent="0.25">
      <c r="A89" s="38"/>
      <c r="B89" s="319" t="s">
        <v>443</v>
      </c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298">
        <v>0.2</v>
      </c>
      <c r="P89" s="187">
        <f t="shared" ref="P89:P97" si="10">SUM(C89:N89)</f>
        <v>0</v>
      </c>
      <c r="Q89" s="39"/>
    </row>
    <row r="90" spans="1:48" x14ac:dyDescent="0.25">
      <c r="A90" s="38"/>
      <c r="B90" s="319" t="s">
        <v>444</v>
      </c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298">
        <v>0.2</v>
      </c>
      <c r="P90" s="187">
        <f t="shared" si="10"/>
        <v>0</v>
      </c>
      <c r="Q90" s="39"/>
    </row>
    <row r="91" spans="1:48" x14ac:dyDescent="0.25">
      <c r="A91" s="38"/>
      <c r="B91" s="319" t="s">
        <v>445</v>
      </c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7"/>
      <c r="N91" s="317"/>
      <c r="O91" s="298">
        <v>0.2</v>
      </c>
      <c r="P91" s="187">
        <f t="shared" si="10"/>
        <v>0</v>
      </c>
      <c r="Q91" s="39"/>
    </row>
    <row r="92" spans="1:48" x14ac:dyDescent="0.25">
      <c r="A92" s="38"/>
      <c r="B92" s="319" t="s">
        <v>446</v>
      </c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7"/>
      <c r="O92" s="298">
        <v>0.2</v>
      </c>
      <c r="P92" s="187">
        <f t="shared" si="10"/>
        <v>0</v>
      </c>
      <c r="Q92" s="39"/>
    </row>
    <row r="93" spans="1:48" x14ac:dyDescent="0.25">
      <c r="A93" s="38"/>
      <c r="B93" s="319" t="s">
        <v>447</v>
      </c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298">
        <v>0.2</v>
      </c>
      <c r="P93" s="187">
        <f t="shared" si="10"/>
        <v>0</v>
      </c>
      <c r="Q93" s="39"/>
    </row>
    <row r="94" spans="1:48" x14ac:dyDescent="0.25">
      <c r="A94" s="38"/>
      <c r="B94" s="319" t="s">
        <v>448</v>
      </c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298">
        <v>0.2</v>
      </c>
      <c r="P94" s="187">
        <f t="shared" si="10"/>
        <v>0</v>
      </c>
      <c r="Q94" s="39"/>
    </row>
    <row r="95" spans="1:48" x14ac:dyDescent="0.25">
      <c r="A95" s="38"/>
      <c r="B95" s="319" t="s">
        <v>449</v>
      </c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298">
        <v>0.2</v>
      </c>
      <c r="P95" s="187">
        <f t="shared" si="10"/>
        <v>0</v>
      </c>
      <c r="Q95" s="39"/>
    </row>
    <row r="96" spans="1:48" x14ac:dyDescent="0.25">
      <c r="A96" s="38"/>
      <c r="B96" s="319" t="s">
        <v>450</v>
      </c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298">
        <v>0.2</v>
      </c>
      <c r="P96" s="187">
        <f t="shared" si="10"/>
        <v>0</v>
      </c>
      <c r="Q96" s="39"/>
    </row>
    <row r="97" spans="1:48" x14ac:dyDescent="0.25">
      <c r="A97" s="38"/>
      <c r="B97" s="319" t="s">
        <v>451</v>
      </c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298">
        <v>0.2</v>
      </c>
      <c r="P97" s="187">
        <f t="shared" si="10"/>
        <v>0</v>
      </c>
      <c r="Q97" s="39"/>
    </row>
    <row r="98" spans="1:48" s="28" customFormat="1" ht="18.75" customHeight="1" x14ac:dyDescent="0.25">
      <c r="A98" s="40"/>
      <c r="B98" s="51" t="s">
        <v>452</v>
      </c>
      <c r="C98" s="58">
        <f t="shared" ref="C98:N98" si="11">SUM(C88:C97)</f>
        <v>0</v>
      </c>
      <c r="D98" s="58">
        <f t="shared" si="11"/>
        <v>0</v>
      </c>
      <c r="E98" s="58">
        <f t="shared" si="11"/>
        <v>0</v>
      </c>
      <c r="F98" s="58">
        <f t="shared" si="11"/>
        <v>0</v>
      </c>
      <c r="G98" s="58">
        <f t="shared" si="11"/>
        <v>0</v>
      </c>
      <c r="H98" s="58">
        <f t="shared" si="11"/>
        <v>0</v>
      </c>
      <c r="I98" s="58">
        <f t="shared" si="11"/>
        <v>0</v>
      </c>
      <c r="J98" s="58">
        <f t="shared" si="11"/>
        <v>0</v>
      </c>
      <c r="K98" s="58">
        <f t="shared" si="11"/>
        <v>0</v>
      </c>
      <c r="L98" s="58">
        <f t="shared" si="11"/>
        <v>0</v>
      </c>
      <c r="M98" s="58">
        <f t="shared" si="11"/>
        <v>0</v>
      </c>
      <c r="N98" s="58">
        <f t="shared" si="11"/>
        <v>0</v>
      </c>
      <c r="O98" s="287"/>
      <c r="P98" s="58">
        <f>SUM(P88:P97)</f>
        <v>0</v>
      </c>
      <c r="Q98" s="41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</row>
    <row r="99" spans="1:48" s="29" customFormat="1" ht="15" customHeight="1" x14ac:dyDescent="0.25">
      <c r="A99" s="38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9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</row>
    <row r="100" spans="1:48" x14ac:dyDescent="0.25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4"/>
    </row>
    <row r="101" spans="1:48" x14ac:dyDescent="0.25">
      <c r="A101" s="26"/>
      <c r="Q101" s="34"/>
    </row>
    <row r="102" spans="1:48" x14ac:dyDescent="0.25">
      <c r="A102" s="26"/>
      <c r="Q102" s="34"/>
    </row>
    <row r="103" spans="1:48" s="34" customFormat="1" x14ac:dyDescent="0.25">
      <c r="A103" s="26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48" s="34" customFormat="1" x14ac:dyDescent="0.25">
      <c r="A104" s="26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48" s="34" customFormat="1" x14ac:dyDescent="0.25">
      <c r="A105" s="26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48" s="34" customFormat="1" x14ac:dyDescent="0.25">
      <c r="A106" s="2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48" s="34" customFormat="1" x14ac:dyDescent="0.25">
      <c r="A107" s="26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48" s="34" customFormat="1" x14ac:dyDescent="0.25">
      <c r="A108" s="26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48" s="34" customFormat="1" x14ac:dyDescent="0.25">
      <c r="A109" s="26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48" s="34" customFormat="1" x14ac:dyDescent="0.25">
      <c r="A110" s="26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48" s="34" customFormat="1" x14ac:dyDescent="0.25">
      <c r="A111" s="26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48" s="34" customFormat="1" x14ac:dyDescent="0.25">
      <c r="A112" s="26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s="34" customFormat="1" x14ac:dyDescent="0.25">
      <c r="A113" s="26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s="34" customFormat="1" x14ac:dyDescent="0.25">
      <c r="A114" s="26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s="34" customFormat="1" x14ac:dyDescent="0.25">
      <c r="A115" s="26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s="34" customFormat="1" x14ac:dyDescent="0.25">
      <c r="A116" s="2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s="34" customFormat="1" x14ac:dyDescent="0.25">
      <c r="A117" s="2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s="34" customFormat="1" x14ac:dyDescent="0.25">
      <c r="A118" s="2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s="34" customFormat="1" x14ac:dyDescent="0.25">
      <c r="A119" s="2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s="34" customFormat="1" x14ac:dyDescent="0.25">
      <c r="A120" s="2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s="34" customFormat="1" x14ac:dyDescent="0.25">
      <c r="A121" s="26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s="34" customFormat="1" x14ac:dyDescent="0.25">
      <c r="A122" s="26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s="34" customFormat="1" x14ac:dyDescent="0.25">
      <c r="A123" s="26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s="34" customFormat="1" x14ac:dyDescent="0.25">
      <c r="A124" s="26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s="34" customFormat="1" x14ac:dyDescent="0.25">
      <c r="A125" s="26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s="34" customFormat="1" x14ac:dyDescent="0.25">
      <c r="A126" s="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s="34" customFormat="1" x14ac:dyDescent="0.25">
      <c r="A127" s="26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s="34" customFormat="1" x14ac:dyDescent="0.25">
      <c r="A128" s="26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s="34" customFormat="1" x14ac:dyDescent="0.25">
      <c r="A129" s="26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s="34" customFormat="1" x14ac:dyDescent="0.25">
      <c r="A130" s="26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s="34" customFormat="1" x14ac:dyDescent="0.25">
      <c r="A131" s="26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s="34" customFormat="1" x14ac:dyDescent="0.25">
      <c r="A132" s="26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s="34" customFormat="1" x14ac:dyDescent="0.25">
      <c r="A133" s="26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s="34" customFormat="1" x14ac:dyDescent="0.25">
      <c r="A134" s="26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s="34" customFormat="1" x14ac:dyDescent="0.25">
      <c r="A135" s="26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s="34" customFormat="1" x14ac:dyDescent="0.25">
      <c r="A136" s="2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s="34" customFormat="1" x14ac:dyDescent="0.25">
      <c r="A137" s="26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s="34" customFormat="1" x14ac:dyDescent="0.25">
      <c r="A138" s="26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s="34" customFormat="1" x14ac:dyDescent="0.25">
      <c r="A139" s="26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s="34" customFormat="1" x14ac:dyDescent="0.25">
      <c r="A140" s="26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s="34" customFormat="1" x14ac:dyDescent="0.25">
      <c r="A141" s="26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s="34" customFormat="1" x14ac:dyDescent="0.25">
      <c r="A142" s="26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s="34" customFormat="1" x14ac:dyDescent="0.25">
      <c r="A143" s="26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s="34" customFormat="1" x14ac:dyDescent="0.25">
      <c r="A144" s="26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s="34" customFormat="1" x14ac:dyDescent="0.25">
      <c r="A145" s="26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s="34" customFormat="1" x14ac:dyDescent="0.25">
      <c r="A146" s="2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s="34" customFormat="1" x14ac:dyDescent="0.25">
      <c r="A147" s="26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s="34" customFormat="1" x14ac:dyDescent="0.25">
      <c r="A148" s="26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s="34" customFormat="1" x14ac:dyDescent="0.25">
      <c r="A149" s="26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34" customFormat="1" x14ac:dyDescent="0.25">
      <c r="A150" s="26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34" customFormat="1" x14ac:dyDescent="0.25">
      <c r="A151" s="26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s="34" customFormat="1" x14ac:dyDescent="0.25">
      <c r="A152" s="26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s="34" customFormat="1" x14ac:dyDescent="0.25">
      <c r="A153" s="26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s="34" customFormat="1" x14ac:dyDescent="0.25">
      <c r="A154" s="26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s="34" customFormat="1" x14ac:dyDescent="0.25">
      <c r="A155" s="26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s="34" customFormat="1" x14ac:dyDescent="0.25">
      <c r="A156" s="2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s="34" customFormat="1" x14ac:dyDescent="0.25">
      <c r="A157" s="26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s="34" customFormat="1" x14ac:dyDescent="0.25">
      <c r="A158" s="26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s="34" customFormat="1" x14ac:dyDescent="0.25">
      <c r="A159" s="26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s="34" customFormat="1" x14ac:dyDescent="0.25">
      <c r="A160" s="26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s="34" customFormat="1" x14ac:dyDescent="0.25">
      <c r="A161" s="26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s="34" customFormat="1" x14ac:dyDescent="0.25">
      <c r="A162" s="26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s="34" customFormat="1" x14ac:dyDescent="0.25">
      <c r="A163" s="26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s="34" customFormat="1" x14ac:dyDescent="0.25">
      <c r="A164" s="26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s="34" customFormat="1" x14ac:dyDescent="0.25">
      <c r="A165" s="26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s="34" customFormat="1" x14ac:dyDescent="0.25">
      <c r="A166" s="2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s="34" customFormat="1" x14ac:dyDescent="0.25">
      <c r="A167" s="26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s="34" customFormat="1" x14ac:dyDescent="0.25">
      <c r="A168" s="26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s="34" customFormat="1" x14ac:dyDescent="0.25">
      <c r="A169" s="26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s="34" customFormat="1" x14ac:dyDescent="0.25">
      <c r="A170" s="26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s="34" customFormat="1" x14ac:dyDescent="0.25">
      <c r="A171" s="26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s="34" customFormat="1" x14ac:dyDescent="0.25">
      <c r="A172" s="26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s="34" customFormat="1" x14ac:dyDescent="0.25">
      <c r="A173" s="26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s="34" customFormat="1" x14ac:dyDescent="0.25">
      <c r="A174" s="26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s="34" customFormat="1" x14ac:dyDescent="0.25">
      <c r="A175" s="26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s="34" customFormat="1" x14ac:dyDescent="0.25">
      <c r="A176" s="2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s="34" customFormat="1" x14ac:dyDescent="0.25">
      <c r="A177" s="26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s="34" customFormat="1" x14ac:dyDescent="0.25">
      <c r="A178" s="26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s="34" customFormat="1" x14ac:dyDescent="0.25">
      <c r="A179" s="26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s="34" customFormat="1" x14ac:dyDescent="0.25">
      <c r="A180" s="26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s="34" customFormat="1" x14ac:dyDescent="0.25">
      <c r="A181" s="26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s="34" customFormat="1" x14ac:dyDescent="0.25">
      <c r="A182" s="26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s="34" customFormat="1" x14ac:dyDescent="0.25">
      <c r="A183" s="26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s="34" customFormat="1" x14ac:dyDescent="0.25">
      <c r="A184" s="26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s="34" customFormat="1" x14ac:dyDescent="0.25">
      <c r="A185" s="26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s="34" customFormat="1" x14ac:dyDescent="0.25">
      <c r="A186" s="2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s="34" customFormat="1" x14ac:dyDescent="0.25">
      <c r="A187" s="26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s="34" customFormat="1" x14ac:dyDescent="0.25">
      <c r="A188" s="26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s="34" customFormat="1" x14ac:dyDescent="0.25">
      <c r="A189" s="26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s="34" customFormat="1" x14ac:dyDescent="0.25">
      <c r="A190" s="26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s="34" customFormat="1" x14ac:dyDescent="0.25">
      <c r="A191" s="26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s="34" customFormat="1" x14ac:dyDescent="0.25">
      <c r="A192" s="26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s="34" customFormat="1" x14ac:dyDescent="0.25">
      <c r="A193" s="26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s="34" customFormat="1" x14ac:dyDescent="0.25">
      <c r="A194" s="26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s="34" customFormat="1" x14ac:dyDescent="0.25">
      <c r="A195" s="26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s="34" customFormat="1" x14ac:dyDescent="0.25">
      <c r="A196" s="2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s="34" customFormat="1" x14ac:dyDescent="0.25">
      <c r="A197" s="26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s="34" customFormat="1" x14ac:dyDescent="0.25">
      <c r="A198" s="26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s="34" customFormat="1" x14ac:dyDescent="0.25">
      <c r="A199" s="26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s="34" customFormat="1" x14ac:dyDescent="0.25">
      <c r="A200" s="26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s="34" customFormat="1" x14ac:dyDescent="0.25">
      <c r="A201" s="26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s="34" customFormat="1" x14ac:dyDescent="0.25">
      <c r="A202" s="26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s="34" customFormat="1" x14ac:dyDescent="0.25">
      <c r="A203" s="26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s="34" customFormat="1" x14ac:dyDescent="0.25">
      <c r="A204" s="26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s="34" customFormat="1" x14ac:dyDescent="0.25">
      <c r="A205" s="26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s="34" customFormat="1" x14ac:dyDescent="0.25">
      <c r="A206" s="2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s="34" customFormat="1" x14ac:dyDescent="0.25">
      <c r="A207" s="26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s="34" customFormat="1" x14ac:dyDescent="0.25">
      <c r="A208" s="26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s="34" customFormat="1" x14ac:dyDescent="0.25">
      <c r="A209" s="26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s="34" customFormat="1" x14ac:dyDescent="0.25">
      <c r="A210" s="26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s="34" customFormat="1" x14ac:dyDescent="0.25">
      <c r="A211" s="26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s="34" customFormat="1" x14ac:dyDescent="0.25">
      <c r="A212" s="26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s="34" customFormat="1" x14ac:dyDescent="0.25">
      <c r="A213" s="26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s="34" customFormat="1" x14ac:dyDescent="0.25">
      <c r="A214" s="26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s="34" customFormat="1" x14ac:dyDescent="0.25">
      <c r="A215" s="26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s="34" customFormat="1" x14ac:dyDescent="0.25">
      <c r="A216" s="2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s="34" customFormat="1" x14ac:dyDescent="0.25">
      <c r="A217" s="26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s="34" customFormat="1" x14ac:dyDescent="0.25">
      <c r="A218" s="26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s="34" customFormat="1" x14ac:dyDescent="0.25">
      <c r="A219" s="26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s="34" customFormat="1" x14ac:dyDescent="0.25">
      <c r="A220" s="26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s="34" customFormat="1" x14ac:dyDescent="0.25">
      <c r="A221" s="26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s="34" customFormat="1" x14ac:dyDescent="0.25">
      <c r="A222" s="26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s="34" customFormat="1" x14ac:dyDescent="0.25">
      <c r="A223" s="26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s="34" customFormat="1" x14ac:dyDescent="0.25">
      <c r="A224" s="26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s="34" customFormat="1" x14ac:dyDescent="0.25">
      <c r="A225" s="26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s="34" customFormat="1" x14ac:dyDescent="0.25">
      <c r="A226" s="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s="34" customFormat="1" x14ac:dyDescent="0.25">
      <c r="A227" s="26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s="34" customFormat="1" x14ac:dyDescent="0.25">
      <c r="A228" s="26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s="34" customFormat="1" x14ac:dyDescent="0.25">
      <c r="A229" s="26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s="34" customFormat="1" x14ac:dyDescent="0.25">
      <c r="A230" s="26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s="34" customFormat="1" x14ac:dyDescent="0.25">
      <c r="A231" s="26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s="34" customFormat="1" x14ac:dyDescent="0.25">
      <c r="A232" s="26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s="34" customFormat="1" x14ac:dyDescent="0.25">
      <c r="A233" s="26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s="34" customFormat="1" x14ac:dyDescent="0.25">
      <c r="A234" s="26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s="34" customFormat="1" x14ac:dyDescent="0.25">
      <c r="A235" s="26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s="34" customFormat="1" x14ac:dyDescent="0.25">
      <c r="A236" s="2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s="34" customFormat="1" x14ac:dyDescent="0.25">
      <c r="A237" s="26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s="34" customFormat="1" x14ac:dyDescent="0.25">
      <c r="A238" s="26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s="34" customFormat="1" x14ac:dyDescent="0.25">
      <c r="A239" s="26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s="34" customFormat="1" x14ac:dyDescent="0.25">
      <c r="A240" s="26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s="34" customFormat="1" x14ac:dyDescent="0.25">
      <c r="A241" s="26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s="34" customFormat="1" x14ac:dyDescent="0.25">
      <c r="A242" s="26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s="34" customFormat="1" x14ac:dyDescent="0.25">
      <c r="A243" s="26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s="34" customFormat="1" x14ac:dyDescent="0.25">
      <c r="A244" s="26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s="34" customFormat="1" x14ac:dyDescent="0.25">
      <c r="A245" s="26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s="34" customFormat="1" x14ac:dyDescent="0.25">
      <c r="A246" s="2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s="34" customFormat="1" x14ac:dyDescent="0.25">
      <c r="A247" s="26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s="34" customFormat="1" x14ac:dyDescent="0.25">
      <c r="A248" s="26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s="34" customFormat="1" x14ac:dyDescent="0.25">
      <c r="A249" s="26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s="34" customFormat="1" x14ac:dyDescent="0.25">
      <c r="A250" s="26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s="34" customFormat="1" x14ac:dyDescent="0.25">
      <c r="A251" s="26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s="34" customFormat="1" x14ac:dyDescent="0.25">
      <c r="A252" s="26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s="34" customFormat="1" x14ac:dyDescent="0.25">
      <c r="A253" s="26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s="34" customFormat="1" x14ac:dyDescent="0.25">
      <c r="A254" s="26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s="34" customFormat="1" x14ac:dyDescent="0.25">
      <c r="A255" s="26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s="34" customFormat="1" x14ac:dyDescent="0.25">
      <c r="A256" s="2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s="34" customFormat="1" x14ac:dyDescent="0.25">
      <c r="A257" s="26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s="34" customFormat="1" x14ac:dyDescent="0.25">
      <c r="A258" s="26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s="34" customFormat="1" x14ac:dyDescent="0.25">
      <c r="A259" s="26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s="34" customFormat="1" x14ac:dyDescent="0.25">
      <c r="A260" s="26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s="34" customFormat="1" x14ac:dyDescent="0.25">
      <c r="A261" s="26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s="34" customFormat="1" x14ac:dyDescent="0.25">
      <c r="A262" s="29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s="34" customFormat="1" x14ac:dyDescent="0.25">
      <c r="A263" s="29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s="34" customFormat="1" x14ac:dyDescent="0.25">
      <c r="A264" s="29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s="34" customFormat="1" x14ac:dyDescent="0.25">
      <c r="A265" s="29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s="34" customFormat="1" x14ac:dyDescent="0.25">
      <c r="A266" s="29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s="34" customFormat="1" x14ac:dyDescent="0.25">
      <c r="A267" s="29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s="34" customFormat="1" x14ac:dyDescent="0.25">
      <c r="A268" s="29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s="34" customFormat="1" x14ac:dyDescent="0.25">
      <c r="A269" s="2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s="34" customFormat="1" x14ac:dyDescent="0.25">
      <c r="A270" s="29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s="34" customFormat="1" x14ac:dyDescent="0.25">
      <c r="A271" s="29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s="34" customFormat="1" x14ac:dyDescent="0.25">
      <c r="A272" s="29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s="34" customFormat="1" x14ac:dyDescent="0.25">
      <c r="A273" s="29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s="34" customFormat="1" x14ac:dyDescent="0.25">
      <c r="A274" s="29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s="34" customFormat="1" x14ac:dyDescent="0.25">
      <c r="A275" s="29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s="34" customFormat="1" x14ac:dyDescent="0.25">
      <c r="A276" s="29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s="34" customFormat="1" x14ac:dyDescent="0.25">
      <c r="A277" s="29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s="34" customFormat="1" x14ac:dyDescent="0.25">
      <c r="A278" s="29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s="34" customFormat="1" x14ac:dyDescent="0.25">
      <c r="A279" s="2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s="34" customFormat="1" x14ac:dyDescent="0.25">
      <c r="A280" s="29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s="34" customFormat="1" x14ac:dyDescent="0.25">
      <c r="A281" s="29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s="34" customFormat="1" x14ac:dyDescent="0.25">
      <c r="A282" s="29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s="34" customFormat="1" x14ac:dyDescent="0.25">
      <c r="A283" s="29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s="34" customFormat="1" x14ac:dyDescent="0.25">
      <c r="A284" s="29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s="34" customFormat="1" x14ac:dyDescent="0.25">
      <c r="A285" s="29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s="34" customFormat="1" x14ac:dyDescent="0.25">
      <c r="A286" s="29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s="34" customFormat="1" x14ac:dyDescent="0.25">
      <c r="A287" s="29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s="34" customFormat="1" x14ac:dyDescent="0.25">
      <c r="A288" s="29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s="34" customFormat="1" x14ac:dyDescent="0.25">
      <c r="A289" s="2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s="34" customFormat="1" x14ac:dyDescent="0.25">
      <c r="A290" s="29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s="34" customFormat="1" x14ac:dyDescent="0.25">
      <c r="A291" s="29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s="34" customFormat="1" x14ac:dyDescent="0.25">
      <c r="A292" s="29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s="34" customFormat="1" x14ac:dyDescent="0.25">
      <c r="A293" s="29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s="34" customFormat="1" x14ac:dyDescent="0.25">
      <c r="A294" s="29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s="34" customFormat="1" x14ac:dyDescent="0.25">
      <c r="A295" s="29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s="34" customFormat="1" x14ac:dyDescent="0.25">
      <c r="A296" s="29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s="34" customFormat="1" x14ac:dyDescent="0.25">
      <c r="A297" s="29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s="34" customFormat="1" x14ac:dyDescent="0.25">
      <c r="A298" s="29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s="34" customFormat="1" x14ac:dyDescent="0.25">
      <c r="A299" s="2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s="34" customFormat="1" x14ac:dyDescent="0.25">
      <c r="A300" s="29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</sheetData>
  <sheetProtection algorithmName="SHA-512" hashValue="nOPNhe/mmjLt0L6xEoJVcW6f6RLYasFB62h3dvfQ6m1HkarA+vtHry8bPGH06UNN4l+T0dfuJnq9P3Ln6loYmg==" saltValue="wjgNWn6on3ufkYM5EGej0Q==" spinCount="100000" sheet="1" objects="1" scenarios="1"/>
  <mergeCells count="1">
    <mergeCell ref="B2:O2"/>
  </mergeCells>
  <dataValidations count="1">
    <dataValidation type="list" allowBlank="1" showInputMessage="1" showErrorMessage="1" sqref="O47:O56 O21:O30 O75:O84 O88:O97 O62:O71">
      <formula1>$C$65:$C$66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Caractéristiques!$C$65:$C$66</xm:f>
          </x14:formula1>
          <xm:sqref>O34:O43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L789"/>
  <sheetViews>
    <sheetView showGridLines="0" topLeftCell="B448" zoomScale="85" zoomScaleNormal="85" workbookViewId="0">
      <selection activeCell="D460" sqref="D460:E460"/>
    </sheetView>
  </sheetViews>
  <sheetFormatPr baseColWidth="10" defaultRowHeight="15" x14ac:dyDescent="0.25"/>
  <cols>
    <col min="1" max="1" width="2.42578125" style="29" customWidth="1"/>
    <col min="2" max="2" width="48.7109375" customWidth="1"/>
    <col min="3" max="5" width="15.7109375" customWidth="1"/>
    <col min="6" max="6" width="18" customWidth="1"/>
    <col min="7" max="7" width="18.28515625" customWidth="1"/>
    <col min="8" max="11" width="15.7109375" customWidth="1"/>
    <col min="12" max="12" width="16.5703125" customWidth="1"/>
    <col min="13" max="13" width="16.85546875" customWidth="1"/>
    <col min="14" max="14" width="17.28515625" customWidth="1"/>
    <col min="15" max="15" width="15.7109375" customWidth="1"/>
    <col min="16" max="16" width="17.42578125" customWidth="1"/>
    <col min="17" max="17" width="17" style="29" customWidth="1"/>
    <col min="18" max="18" width="18" style="29" customWidth="1"/>
    <col min="19" max="19" width="15.140625" customWidth="1"/>
    <col min="20" max="20" width="14.7109375" customWidth="1"/>
  </cols>
  <sheetData>
    <row r="1" spans="1:18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28.5" customHeight="1" x14ac:dyDescent="0.25">
      <c r="A2" s="38"/>
      <c r="B2" s="409" t="s">
        <v>173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31"/>
      <c r="R2" s="39"/>
    </row>
    <row r="3" spans="1:18" s="29" customFormat="1" ht="15" customHeight="1" x14ac:dyDescent="0.25">
      <c r="A3" s="3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9"/>
    </row>
    <row r="4" spans="1:18" s="29" customFormat="1" ht="15" customHeight="1" x14ac:dyDescent="0.3">
      <c r="A4" s="38"/>
      <c r="B4" s="81" t="s">
        <v>208</v>
      </c>
      <c r="C4" s="30"/>
      <c r="E4" s="30"/>
      <c r="F4" s="30"/>
      <c r="G4" s="30"/>
      <c r="H4" s="30"/>
      <c r="J4" s="30"/>
      <c r="K4" s="30"/>
      <c r="L4" s="30"/>
      <c r="M4" s="30"/>
      <c r="N4" s="30"/>
      <c r="O4" s="30"/>
      <c r="P4" s="30"/>
      <c r="Q4" s="31"/>
      <c r="R4" s="39"/>
    </row>
    <row r="5" spans="1:18" s="29" customFormat="1" ht="15" customHeight="1" x14ac:dyDescent="0.25">
      <c r="A5" s="3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9"/>
    </row>
    <row r="6" spans="1:18" ht="19.5" customHeight="1" x14ac:dyDescent="0.25">
      <c r="A6" s="38"/>
      <c r="B6" s="45" t="s">
        <v>146</v>
      </c>
      <c r="C6" s="46" t="s">
        <v>149</v>
      </c>
      <c r="D6" s="46" t="s">
        <v>150</v>
      </c>
      <c r="E6" s="46" t="s">
        <v>151</v>
      </c>
      <c r="F6" s="46" t="s">
        <v>152</v>
      </c>
      <c r="G6" s="46" t="s">
        <v>153</v>
      </c>
      <c r="H6" s="46" t="s">
        <v>154</v>
      </c>
      <c r="I6" s="46" t="s">
        <v>155</v>
      </c>
      <c r="J6" s="46" t="s">
        <v>156</v>
      </c>
      <c r="K6" s="46" t="s">
        <v>157</v>
      </c>
      <c r="L6" s="46" t="s">
        <v>158</v>
      </c>
      <c r="M6" s="46" t="s">
        <v>159</v>
      </c>
      <c r="N6" s="46" t="s">
        <v>160</v>
      </c>
      <c r="O6" s="46"/>
      <c r="P6" s="50" t="s">
        <v>20</v>
      </c>
      <c r="Q6" s="31"/>
      <c r="R6" s="39"/>
    </row>
    <row r="7" spans="1:18" x14ac:dyDescent="0.25">
      <c r="A7" s="38"/>
      <c r="B7" s="33" t="e">
        <f>somme.si</f>
        <v>#NAME?</v>
      </c>
      <c r="C7" s="52">
        <f>Activité!C29</f>
        <v>0</v>
      </c>
      <c r="D7" s="52">
        <f>Activité!D29</f>
        <v>0</v>
      </c>
      <c r="E7" s="52">
        <f>Activité!E29</f>
        <v>0</v>
      </c>
      <c r="F7" s="52">
        <f>Activité!F29</f>
        <v>0</v>
      </c>
      <c r="G7" s="52">
        <f>Activité!G29</f>
        <v>0</v>
      </c>
      <c r="H7" s="52">
        <f>Activité!H29</f>
        <v>0</v>
      </c>
      <c r="I7" s="52">
        <f>Activité!I29</f>
        <v>0</v>
      </c>
      <c r="J7" s="52">
        <f>Activité!J29</f>
        <v>0</v>
      </c>
      <c r="K7" s="52">
        <f>Activité!K29</f>
        <v>0</v>
      </c>
      <c r="L7" s="52">
        <f>Activité!L29</f>
        <v>0</v>
      </c>
      <c r="M7" s="52">
        <f>Activité!M29</f>
        <v>0</v>
      </c>
      <c r="N7" s="52">
        <f>Activité!N29</f>
        <v>0</v>
      </c>
      <c r="O7" s="52"/>
      <c r="P7" s="53">
        <f>SUM(C7:N7)</f>
        <v>0</v>
      </c>
      <c r="Q7" s="31"/>
      <c r="R7" s="39"/>
    </row>
    <row r="8" spans="1:18" x14ac:dyDescent="0.25">
      <c r="A8" s="38"/>
      <c r="B8" s="33" t="s">
        <v>189</v>
      </c>
      <c r="C8" s="52">
        <f>Activité!C30</f>
        <v>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53">
        <f>SUM(C8:N8)</f>
        <v>0</v>
      </c>
      <c r="Q8" s="31"/>
      <c r="R8" s="39"/>
    </row>
    <row r="9" spans="1:18" x14ac:dyDescent="0.25">
      <c r="A9" s="38"/>
      <c r="B9" s="33" t="s">
        <v>190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52">
        <f>Activité!N33</f>
        <v>0</v>
      </c>
      <c r="O9" s="52"/>
      <c r="P9" s="53">
        <f>SUM(C9:N9)</f>
        <v>0</v>
      </c>
      <c r="Q9" s="31"/>
      <c r="R9" s="39"/>
    </row>
    <row r="10" spans="1:18" x14ac:dyDescent="0.25">
      <c r="A10" s="38"/>
      <c r="B10" s="33" t="s">
        <v>191</v>
      </c>
      <c r="C10" s="54">
        <f>Activité!C32</f>
        <v>0</v>
      </c>
      <c r="D10" s="54">
        <f>Activité!D32</f>
        <v>0</v>
      </c>
      <c r="E10" s="54">
        <f>Activité!E32</f>
        <v>0</v>
      </c>
      <c r="F10" s="54">
        <f>Activité!F32</f>
        <v>0</v>
      </c>
      <c r="G10" s="54">
        <f>Activité!G32</f>
        <v>0</v>
      </c>
      <c r="H10" s="54">
        <f>Activité!H32</f>
        <v>0</v>
      </c>
      <c r="I10" s="54">
        <f>Activité!I32</f>
        <v>0</v>
      </c>
      <c r="J10" s="54">
        <f>Activité!J32</f>
        <v>0</v>
      </c>
      <c r="K10" s="54">
        <f>Activité!K32</f>
        <v>0</v>
      </c>
      <c r="L10" s="54">
        <f>Activité!L32</f>
        <v>0</v>
      </c>
      <c r="M10" s="54">
        <f>Activité!M32</f>
        <v>0</v>
      </c>
      <c r="N10" s="54">
        <f>Activité!N32</f>
        <v>0</v>
      </c>
      <c r="O10" s="54"/>
      <c r="P10" s="53">
        <f t="shared" ref="P10:P20" si="0">SUM(C10:N10)</f>
        <v>0</v>
      </c>
      <c r="Q10" s="31"/>
      <c r="R10" s="39"/>
    </row>
    <row r="11" spans="1:18" x14ac:dyDescent="0.25">
      <c r="A11" s="38"/>
      <c r="B11" s="33" t="s">
        <v>192</v>
      </c>
      <c r="C11" s="54">
        <f>+'Frais généraux'!$C$71/12</f>
        <v>0</v>
      </c>
      <c r="D11" s="54">
        <f>+'Frais généraux'!$C$71/12</f>
        <v>0</v>
      </c>
      <c r="E11" s="54">
        <f>+'Frais généraux'!$C$71/12</f>
        <v>0</v>
      </c>
      <c r="F11" s="54">
        <f>+'Frais généraux'!$C$71/12</f>
        <v>0</v>
      </c>
      <c r="G11" s="54">
        <f>+'Frais généraux'!$C$71/12</f>
        <v>0</v>
      </c>
      <c r="H11" s="54">
        <f>+'Frais généraux'!$C$71/12</f>
        <v>0</v>
      </c>
      <c r="I11" s="54">
        <f>+'Frais généraux'!$C$71/12</f>
        <v>0</v>
      </c>
      <c r="J11" s="54">
        <f>+'Frais généraux'!$C$71/12</f>
        <v>0</v>
      </c>
      <c r="K11" s="54">
        <f>+'Frais généraux'!$C$71/12</f>
        <v>0</v>
      </c>
      <c r="L11" s="54">
        <f>+'Frais généraux'!$C$71/12</f>
        <v>0</v>
      </c>
      <c r="M11" s="54">
        <f>+'Frais généraux'!$C$71/12</f>
        <v>0</v>
      </c>
      <c r="N11" s="54">
        <f>+'Frais généraux'!$C$71/12</f>
        <v>0</v>
      </c>
      <c r="O11" s="54"/>
      <c r="P11" s="53">
        <f t="shared" si="0"/>
        <v>0</v>
      </c>
      <c r="Q11" s="31"/>
      <c r="R11" s="39"/>
    </row>
    <row r="12" spans="1:18" x14ac:dyDescent="0.25">
      <c r="A12" s="38"/>
      <c r="B12" s="33" t="s">
        <v>176</v>
      </c>
      <c r="C12" s="54">
        <f>Salaires!C21</f>
        <v>0</v>
      </c>
      <c r="D12" s="54">
        <f>Salaires!D21</f>
        <v>0</v>
      </c>
      <c r="E12" s="54">
        <f>Salaires!E21</f>
        <v>0</v>
      </c>
      <c r="F12" s="54">
        <f>Salaires!F21</f>
        <v>0</v>
      </c>
      <c r="G12" s="54">
        <f>Salaires!G21</f>
        <v>0</v>
      </c>
      <c r="H12" s="54">
        <f>Salaires!H21</f>
        <v>0</v>
      </c>
      <c r="I12" s="54">
        <f>Salaires!I21</f>
        <v>0</v>
      </c>
      <c r="J12" s="54">
        <f>Salaires!J21</f>
        <v>0</v>
      </c>
      <c r="K12" s="54">
        <f>Salaires!K21</f>
        <v>0</v>
      </c>
      <c r="L12" s="54">
        <f>Salaires!L21</f>
        <v>0</v>
      </c>
      <c r="M12" s="54">
        <f>Salaires!M21</f>
        <v>0</v>
      </c>
      <c r="N12" s="54">
        <f>Salaires!N21</f>
        <v>0</v>
      </c>
      <c r="O12" s="54"/>
      <c r="P12" s="53">
        <f t="shared" si="0"/>
        <v>0</v>
      </c>
      <c r="Q12" s="31"/>
      <c r="R12" s="39"/>
    </row>
    <row r="13" spans="1:18" x14ac:dyDescent="0.25">
      <c r="A13" s="38"/>
      <c r="B13" s="33" t="s">
        <v>174</v>
      </c>
      <c r="C13" s="54">
        <f>Salaires!C22</f>
        <v>0</v>
      </c>
      <c r="D13" s="54">
        <f>IF(Caractéristiques!$C$25="Régime général de la sécurité sociale",'Calcul prévi'!K374,IF(Caractéristiques!$C$25="Sécurité sociale des indépendants (RSI)",'Calcul prévi'!L351,0))</f>
        <v>0</v>
      </c>
      <c r="E13" s="54">
        <f>Salaires!E22</f>
        <v>0</v>
      </c>
      <c r="F13" s="54">
        <f>Salaires!F22</f>
        <v>0</v>
      </c>
      <c r="G13" s="54">
        <f>Salaires!G22</f>
        <v>0</v>
      </c>
      <c r="H13" s="54">
        <f>Salaires!H22</f>
        <v>0</v>
      </c>
      <c r="I13" s="54">
        <f>Salaires!I22</f>
        <v>0</v>
      </c>
      <c r="J13" s="54">
        <f>Salaires!J22</f>
        <v>0</v>
      </c>
      <c r="K13" s="54">
        <f>Salaires!K22</f>
        <v>0</v>
      </c>
      <c r="L13" s="54">
        <f>Salaires!L22</f>
        <v>0</v>
      </c>
      <c r="M13" s="54">
        <f>Salaires!M22</f>
        <v>0</v>
      </c>
      <c r="N13" s="54">
        <f>Salaires!N22</f>
        <v>0</v>
      </c>
      <c r="O13" s="54"/>
      <c r="P13" s="53">
        <f t="shared" si="0"/>
        <v>0</v>
      </c>
      <c r="Q13" s="31"/>
      <c r="R13" s="39"/>
    </row>
    <row r="14" spans="1:18" x14ac:dyDescent="0.25">
      <c r="A14" s="38"/>
      <c r="B14" s="33" t="s">
        <v>177</v>
      </c>
      <c r="C14" s="54">
        <f>Salaires!C55</f>
        <v>0</v>
      </c>
      <c r="D14" s="54">
        <f>Salaires!D55</f>
        <v>0</v>
      </c>
      <c r="E14" s="54">
        <f>Salaires!E55</f>
        <v>0</v>
      </c>
      <c r="F14" s="54">
        <f>Salaires!F55</f>
        <v>0</v>
      </c>
      <c r="G14" s="54">
        <f>Salaires!G55</f>
        <v>0</v>
      </c>
      <c r="H14" s="54">
        <f>Salaires!H55</f>
        <v>0</v>
      </c>
      <c r="I14" s="54">
        <f>Salaires!I55</f>
        <v>0</v>
      </c>
      <c r="J14" s="54">
        <f>Salaires!J55</f>
        <v>0</v>
      </c>
      <c r="K14" s="54">
        <f>Salaires!K55</f>
        <v>0</v>
      </c>
      <c r="L14" s="54">
        <f>Salaires!L55</f>
        <v>0</v>
      </c>
      <c r="M14" s="54">
        <f>Salaires!M55</f>
        <v>0</v>
      </c>
      <c r="N14" s="54">
        <f>Salaires!N55</f>
        <v>0</v>
      </c>
      <c r="O14" s="54"/>
      <c r="P14" s="53">
        <f t="shared" si="0"/>
        <v>0</v>
      </c>
      <c r="Q14" s="31"/>
      <c r="R14" s="39"/>
    </row>
    <row r="15" spans="1:18" x14ac:dyDescent="0.25">
      <c r="A15" s="38"/>
      <c r="B15" s="33" t="s">
        <v>186</v>
      </c>
      <c r="C15" s="54">
        <f>Salaires!C56</f>
        <v>0</v>
      </c>
      <c r="D15" s="54">
        <f>Salaires!D56</f>
        <v>0</v>
      </c>
      <c r="E15" s="54">
        <f>Salaires!E56</f>
        <v>0</v>
      </c>
      <c r="F15" s="54">
        <f>Salaires!F56</f>
        <v>0</v>
      </c>
      <c r="G15" s="54">
        <f>Salaires!G56</f>
        <v>0</v>
      </c>
      <c r="H15" s="54">
        <f>Salaires!H56</f>
        <v>0</v>
      </c>
      <c r="I15" s="54">
        <f>Salaires!I56</f>
        <v>0</v>
      </c>
      <c r="J15" s="54">
        <f>Salaires!J56</f>
        <v>0</v>
      </c>
      <c r="K15" s="54">
        <f>Salaires!K56</f>
        <v>0</v>
      </c>
      <c r="L15" s="54">
        <f>Salaires!L56</f>
        <v>0</v>
      </c>
      <c r="M15" s="54">
        <f>Salaires!M56</f>
        <v>0</v>
      </c>
      <c r="N15" s="54">
        <f>Salaires!N56</f>
        <v>0</v>
      </c>
      <c r="O15" s="54"/>
      <c r="P15" s="53">
        <f t="shared" si="0"/>
        <v>0</v>
      </c>
      <c r="Q15" s="31"/>
      <c r="R15" s="39"/>
    </row>
    <row r="16" spans="1:18" x14ac:dyDescent="0.25">
      <c r="A16" s="38"/>
      <c r="B16" s="33" t="s">
        <v>188</v>
      </c>
      <c r="C16" s="54">
        <f>Salaires!C57</f>
        <v>0</v>
      </c>
      <c r="D16" s="54">
        <f>Salaires!D57</f>
        <v>0</v>
      </c>
      <c r="E16" s="54">
        <f>Salaires!E57</f>
        <v>0</v>
      </c>
      <c r="F16" s="54">
        <f>Salaires!F57</f>
        <v>0</v>
      </c>
      <c r="G16" s="54">
        <f>Salaires!G57</f>
        <v>0</v>
      </c>
      <c r="H16" s="54">
        <f>Salaires!H57</f>
        <v>0</v>
      </c>
      <c r="I16" s="54">
        <f>Salaires!I57</f>
        <v>0</v>
      </c>
      <c r="J16" s="54">
        <f>Salaires!J57</f>
        <v>0</v>
      </c>
      <c r="K16" s="54">
        <f>Salaires!K57</f>
        <v>0</v>
      </c>
      <c r="L16" s="54">
        <f>Salaires!L57</f>
        <v>0</v>
      </c>
      <c r="M16" s="54">
        <f>Salaires!M57</f>
        <v>0</v>
      </c>
      <c r="N16" s="54">
        <f>Salaires!N57</f>
        <v>0</v>
      </c>
      <c r="O16" s="54"/>
      <c r="P16" s="53">
        <f t="shared" si="0"/>
        <v>0</v>
      </c>
      <c r="Q16" s="31"/>
      <c r="R16" s="39"/>
    </row>
    <row r="17" spans="1:18" x14ac:dyDescent="0.25">
      <c r="A17" s="38"/>
      <c r="B17" s="33" t="s">
        <v>175</v>
      </c>
      <c r="C17" s="54">
        <f>Salaires!C58</f>
        <v>0</v>
      </c>
      <c r="D17" s="54">
        <f>Salaires!D58</f>
        <v>0</v>
      </c>
      <c r="E17" s="54">
        <f>Salaires!E58</f>
        <v>0</v>
      </c>
      <c r="F17" s="54">
        <f>Salaires!F58</f>
        <v>0</v>
      </c>
      <c r="G17" s="54">
        <f>Salaires!G58</f>
        <v>0</v>
      </c>
      <c r="H17" s="54">
        <f>Salaires!H58</f>
        <v>0</v>
      </c>
      <c r="I17" s="54">
        <f>Salaires!I58</f>
        <v>0</v>
      </c>
      <c r="J17" s="54">
        <f>Salaires!J58</f>
        <v>0</v>
      </c>
      <c r="K17" s="54">
        <f>Salaires!K58</f>
        <v>0</v>
      </c>
      <c r="L17" s="54">
        <f>Salaires!L58</f>
        <v>0</v>
      </c>
      <c r="M17" s="54">
        <f>Salaires!M58</f>
        <v>0</v>
      </c>
      <c r="N17" s="54">
        <f>Salaires!N58</f>
        <v>0</v>
      </c>
      <c r="O17" s="54"/>
      <c r="P17" s="53">
        <f t="shared" si="0"/>
        <v>0</v>
      </c>
      <c r="Q17" s="31"/>
      <c r="R17" s="39"/>
    </row>
    <row r="18" spans="1:18" x14ac:dyDescent="0.25">
      <c r="A18" s="38"/>
      <c r="B18" s="33" t="s">
        <v>187</v>
      </c>
      <c r="C18" s="54">
        <f>Salaires!C59</f>
        <v>0</v>
      </c>
      <c r="D18" s="54">
        <f>Salaires!D59</f>
        <v>0</v>
      </c>
      <c r="E18" s="54">
        <f>Salaires!E59</f>
        <v>0</v>
      </c>
      <c r="F18" s="54">
        <f>Salaires!F59</f>
        <v>0</v>
      </c>
      <c r="G18" s="54">
        <f>Salaires!G59</f>
        <v>0</v>
      </c>
      <c r="H18" s="54">
        <f>Salaires!H59</f>
        <v>0</v>
      </c>
      <c r="I18" s="54">
        <f>Salaires!I59</f>
        <v>0</v>
      </c>
      <c r="J18" s="54">
        <f>Salaires!J59</f>
        <v>0</v>
      </c>
      <c r="K18" s="54">
        <f>Salaires!K59</f>
        <v>0</v>
      </c>
      <c r="L18" s="54">
        <f>Salaires!L59</f>
        <v>0</v>
      </c>
      <c r="M18" s="54">
        <f>Salaires!M59</f>
        <v>0</v>
      </c>
      <c r="N18" s="54">
        <f>Salaires!N59</f>
        <v>0</v>
      </c>
      <c r="O18" s="54"/>
      <c r="P18" s="53">
        <f t="shared" si="0"/>
        <v>0</v>
      </c>
      <c r="Q18" s="31"/>
      <c r="R18" s="39"/>
    </row>
    <row r="19" spans="1:18" x14ac:dyDescent="0.25">
      <c r="A19" s="38"/>
      <c r="B19" s="33" t="s">
        <v>195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3">
        <f t="shared" si="0"/>
        <v>0</v>
      </c>
      <c r="Q19" s="31"/>
      <c r="R19" s="39"/>
    </row>
    <row r="20" spans="1:18" x14ac:dyDescent="0.25">
      <c r="A20" s="38"/>
      <c r="B20" s="33" t="s">
        <v>87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3">
        <f t="shared" si="0"/>
        <v>0</v>
      </c>
      <c r="Q20" s="31"/>
      <c r="R20" s="39"/>
    </row>
    <row r="21" spans="1:18" x14ac:dyDescent="0.25">
      <c r="A21" s="38"/>
      <c r="B21" s="3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3"/>
      <c r="Q21" s="31"/>
      <c r="R21" s="39"/>
    </row>
    <row r="22" spans="1:18" x14ac:dyDescent="0.25">
      <c r="A22" s="38"/>
      <c r="B22" s="33" t="s">
        <v>194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3">
        <f>P7+P9-(P8-SUM(P10:P20))</f>
        <v>0</v>
      </c>
      <c r="Q22" s="31"/>
      <c r="R22" s="39"/>
    </row>
    <row r="23" spans="1:18" x14ac:dyDescent="0.25">
      <c r="A23" s="38"/>
      <c r="B23" s="33" t="s">
        <v>41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3"/>
      <c r="Q23" s="31"/>
      <c r="R23" s="39"/>
    </row>
    <row r="24" spans="1:18" x14ac:dyDescent="0.25">
      <c r="A24" s="38"/>
      <c r="B24" s="33" t="s">
        <v>193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3">
        <f>P22-P23</f>
        <v>0</v>
      </c>
      <c r="Q24" s="31"/>
      <c r="R24" s="39"/>
    </row>
    <row r="25" spans="1:18" x14ac:dyDescent="0.25">
      <c r="A25" s="38"/>
      <c r="B25" s="3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78"/>
      <c r="Q25" s="31"/>
      <c r="R25" s="39"/>
    </row>
    <row r="26" spans="1:18" x14ac:dyDescent="0.25">
      <c r="A26" s="38"/>
      <c r="B26" s="3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78"/>
      <c r="Q26" s="31"/>
      <c r="R26" s="39"/>
    </row>
    <row r="27" spans="1:18" x14ac:dyDescent="0.25">
      <c r="A27" s="38"/>
      <c r="B27" s="29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9"/>
    </row>
    <row r="28" spans="1:18" ht="18.75" x14ac:dyDescent="0.3">
      <c r="A28" s="38"/>
      <c r="B28" s="81" t="s">
        <v>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9"/>
    </row>
    <row r="29" spans="1:18" x14ac:dyDescent="0.25">
      <c r="A29" s="38"/>
      <c r="B29" s="2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9"/>
    </row>
    <row r="30" spans="1:18" ht="18.75" x14ac:dyDescent="0.25">
      <c r="A30" s="38"/>
      <c r="B30" s="45" t="s">
        <v>146</v>
      </c>
      <c r="C30" s="46" t="s">
        <v>149</v>
      </c>
      <c r="D30" s="46" t="s">
        <v>150</v>
      </c>
      <c r="E30" s="46" t="s">
        <v>151</v>
      </c>
      <c r="F30" s="46" t="s">
        <v>152</v>
      </c>
      <c r="G30" s="46" t="s">
        <v>153</v>
      </c>
      <c r="H30" s="46" t="s">
        <v>154</v>
      </c>
      <c r="I30" s="46" t="s">
        <v>155</v>
      </c>
      <c r="J30" s="46" t="s">
        <v>156</v>
      </c>
      <c r="K30" s="46" t="s">
        <v>157</v>
      </c>
      <c r="L30" s="46" t="s">
        <v>158</v>
      </c>
      <c r="M30" s="46" t="s">
        <v>159</v>
      </c>
      <c r="N30" s="46" t="s">
        <v>160</v>
      </c>
      <c r="O30" s="46" t="s">
        <v>240</v>
      </c>
      <c r="P30" s="50" t="s">
        <v>204</v>
      </c>
      <c r="Q30" s="31"/>
      <c r="R30" s="39"/>
    </row>
    <row r="31" spans="1:18" x14ac:dyDescent="0.25">
      <c r="A31" s="38"/>
      <c r="B31" s="33" t="s">
        <v>55</v>
      </c>
      <c r="C31" s="54">
        <f>+Activité!C29*Caractéristiques!$C$37</f>
        <v>0</v>
      </c>
      <c r="D31" s="54">
        <f>+Activité!D29*Caractéristiques!$C$37</f>
        <v>0</v>
      </c>
      <c r="E31" s="54">
        <f>+Activité!E29*Caractéristiques!$C$37</f>
        <v>0</v>
      </c>
      <c r="F31" s="54">
        <f>+Activité!F29*Caractéristiques!$C$37</f>
        <v>0</v>
      </c>
      <c r="G31" s="54">
        <f>+Activité!G29*Caractéristiques!$C$37</f>
        <v>0</v>
      </c>
      <c r="H31" s="54">
        <f>+Activité!H29*Caractéristiques!$C$37</f>
        <v>0</v>
      </c>
      <c r="I31" s="54">
        <f>+Activité!I29*Caractéristiques!$C$37</f>
        <v>0</v>
      </c>
      <c r="J31" s="54">
        <f>+Activité!J29*Caractéristiques!$C$37</f>
        <v>0</v>
      </c>
      <c r="K31" s="54">
        <f>+Activité!K29*Caractéristiques!$C$37</f>
        <v>0</v>
      </c>
      <c r="L31" s="54">
        <f>+Activité!L29*Caractéristiques!$C$37</f>
        <v>0</v>
      </c>
      <c r="M31" s="54">
        <f>+Activité!M29*Caractéristiques!$C$37</f>
        <v>0</v>
      </c>
      <c r="N31" s="54">
        <f>+Activité!N29*Caractéristiques!$C$37</f>
        <v>0</v>
      </c>
      <c r="O31" s="54">
        <f>SUM(C31:N31)</f>
        <v>0</v>
      </c>
      <c r="P31" s="78"/>
      <c r="Q31" s="31"/>
      <c r="R31" s="39"/>
    </row>
    <row r="32" spans="1:18" x14ac:dyDescent="0.25">
      <c r="A32" s="38"/>
      <c r="B32" s="33" t="s">
        <v>455</v>
      </c>
      <c r="C32" s="54">
        <f>C611</f>
        <v>0</v>
      </c>
      <c r="D32" s="54">
        <f t="shared" ref="D32:N32" si="1">D611</f>
        <v>0</v>
      </c>
      <c r="E32" s="54">
        <f t="shared" si="1"/>
        <v>0</v>
      </c>
      <c r="F32" s="54">
        <f t="shared" si="1"/>
        <v>0</v>
      </c>
      <c r="G32" s="54">
        <f t="shared" si="1"/>
        <v>0</v>
      </c>
      <c r="H32" s="54">
        <f t="shared" si="1"/>
        <v>0</v>
      </c>
      <c r="I32" s="54">
        <f t="shared" si="1"/>
        <v>0</v>
      </c>
      <c r="J32" s="54">
        <f t="shared" si="1"/>
        <v>0</v>
      </c>
      <c r="K32" s="54">
        <f t="shared" si="1"/>
        <v>0</v>
      </c>
      <c r="L32" s="54">
        <f t="shared" si="1"/>
        <v>0</v>
      </c>
      <c r="M32" s="54">
        <f t="shared" si="1"/>
        <v>0</v>
      </c>
      <c r="N32" s="54">
        <f t="shared" si="1"/>
        <v>0</v>
      </c>
      <c r="O32" s="54">
        <f>SUM(C32:N32)</f>
        <v>0</v>
      </c>
      <c r="P32" s="78"/>
      <c r="Q32" s="31"/>
      <c r="R32" s="39"/>
    </row>
    <row r="33" spans="1:18" x14ac:dyDescent="0.25">
      <c r="A33" s="38"/>
      <c r="B33" s="3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78"/>
      <c r="Q33" s="31"/>
      <c r="R33" s="39"/>
    </row>
    <row r="34" spans="1:18" x14ac:dyDescent="0.25">
      <c r="A34" s="38"/>
      <c r="B34" s="33" t="s">
        <v>197</v>
      </c>
      <c r="C34" s="54">
        <f>(Activité!C32+Activité!C30)*Caractéristiques!$C$38</f>
        <v>0</v>
      </c>
      <c r="D34" s="54">
        <f>Activité!D32*Caractéristiques!$C$38</f>
        <v>0</v>
      </c>
      <c r="E34" s="54">
        <f>Activité!E32*Caractéristiques!$C$38</f>
        <v>0</v>
      </c>
      <c r="F34" s="54">
        <f>Activité!F32*Caractéristiques!$C$38</f>
        <v>0</v>
      </c>
      <c r="G34" s="54">
        <f>Activité!G32*Caractéristiques!$C$38</f>
        <v>0</v>
      </c>
      <c r="H34" s="54">
        <f>Activité!H32*Caractéristiques!$C$38</f>
        <v>0</v>
      </c>
      <c r="I34" s="54">
        <f>Activité!I32*Caractéristiques!$C$38</f>
        <v>0</v>
      </c>
      <c r="J34" s="54">
        <f>Activité!J32*Caractéristiques!$C$38</f>
        <v>0</v>
      </c>
      <c r="K34" s="54">
        <f>Activité!K32*Caractéristiques!$C$38</f>
        <v>0</v>
      </c>
      <c r="L34" s="54">
        <f>Activité!L32*Caractéristiques!$C$38</f>
        <v>0</v>
      </c>
      <c r="M34" s="54">
        <f>Activité!M32*Caractéristiques!$C$38</f>
        <v>0</v>
      </c>
      <c r="N34" s="54">
        <f>Activité!N32*Caractéristiques!$C$38</f>
        <v>0</v>
      </c>
      <c r="O34" s="54">
        <f>SUM(C34:N34)</f>
        <v>0</v>
      </c>
      <c r="P34" s="78"/>
      <c r="Q34" s="31"/>
      <c r="R34" s="39"/>
    </row>
    <row r="35" spans="1:18" x14ac:dyDescent="0.25">
      <c r="A35" s="38"/>
      <c r="B35" s="33" t="s">
        <v>196</v>
      </c>
      <c r="C35" s="54">
        <f>'Frais généraux'!$C$79/12</f>
        <v>0</v>
      </c>
      <c r="D35" s="54">
        <f>'Frais généraux'!$C$79/12</f>
        <v>0</v>
      </c>
      <c r="E35" s="54">
        <f>'Frais généraux'!$C$79/12</f>
        <v>0</v>
      </c>
      <c r="F35" s="54">
        <f>'Frais généraux'!$C$79/12</f>
        <v>0</v>
      </c>
      <c r="G35" s="54">
        <f>'Frais généraux'!$C$79/12</f>
        <v>0</v>
      </c>
      <c r="H35" s="54">
        <f>'Frais généraux'!$C$79/12</f>
        <v>0</v>
      </c>
      <c r="I35" s="54">
        <f>'Frais généraux'!$C$79/12</f>
        <v>0</v>
      </c>
      <c r="J35" s="54">
        <f>'Frais généraux'!$C$79/12</f>
        <v>0</v>
      </c>
      <c r="K35" s="54">
        <f>'Frais généraux'!$C$79/12</f>
        <v>0</v>
      </c>
      <c r="L35" s="54">
        <f>'Frais généraux'!$C$79/12</f>
        <v>0</v>
      </c>
      <c r="M35" s="54">
        <f>'Frais généraux'!$C$79/12</f>
        <v>0</v>
      </c>
      <c r="N35" s="54">
        <f>'Frais généraux'!$C$79/12</f>
        <v>0</v>
      </c>
      <c r="O35" s="54">
        <f>SUM(C35:N35)</f>
        <v>0</v>
      </c>
      <c r="P35" s="78"/>
      <c r="Q35" s="31"/>
      <c r="R35" s="39"/>
    </row>
    <row r="36" spans="1:18" x14ac:dyDescent="0.25">
      <c r="A36" s="38"/>
      <c r="B36" s="33" t="s">
        <v>379</v>
      </c>
      <c r="C36" s="54">
        <f>H521</f>
        <v>0</v>
      </c>
      <c r="D36" s="54">
        <f t="shared" ref="D36:N36" si="2">I521</f>
        <v>0</v>
      </c>
      <c r="E36" s="54">
        <f t="shared" si="2"/>
        <v>0</v>
      </c>
      <c r="F36" s="54">
        <f t="shared" si="2"/>
        <v>0</v>
      </c>
      <c r="G36" s="54">
        <f t="shared" si="2"/>
        <v>0</v>
      </c>
      <c r="H36" s="54">
        <f t="shared" si="2"/>
        <v>0</v>
      </c>
      <c r="I36" s="54">
        <f t="shared" si="2"/>
        <v>0</v>
      </c>
      <c r="J36" s="54">
        <f t="shared" si="2"/>
        <v>0</v>
      </c>
      <c r="K36" s="54">
        <f t="shared" si="2"/>
        <v>0</v>
      </c>
      <c r="L36" s="54">
        <f t="shared" si="2"/>
        <v>0</v>
      </c>
      <c r="M36" s="54">
        <f t="shared" si="2"/>
        <v>0</v>
      </c>
      <c r="N36" s="54">
        <f t="shared" si="2"/>
        <v>0</v>
      </c>
      <c r="O36" s="54">
        <f>SUM(C36:N36)</f>
        <v>0</v>
      </c>
      <c r="P36" s="78"/>
      <c r="Q36" s="31"/>
      <c r="R36" s="39"/>
    </row>
    <row r="37" spans="1:18" x14ac:dyDescent="0.25">
      <c r="A37" s="38"/>
      <c r="B37" s="33" t="s">
        <v>440</v>
      </c>
      <c r="C37" s="54">
        <f>C585</f>
        <v>0</v>
      </c>
      <c r="D37" s="54">
        <f t="shared" ref="D37:N37" si="3">D585</f>
        <v>0</v>
      </c>
      <c r="E37" s="54">
        <f t="shared" si="3"/>
        <v>0</v>
      </c>
      <c r="F37" s="54">
        <f t="shared" si="3"/>
        <v>0</v>
      </c>
      <c r="G37" s="54">
        <f t="shared" si="3"/>
        <v>0</v>
      </c>
      <c r="H37" s="54">
        <f t="shared" si="3"/>
        <v>0</v>
      </c>
      <c r="I37" s="54">
        <f t="shared" si="3"/>
        <v>0</v>
      </c>
      <c r="J37" s="54">
        <f t="shared" si="3"/>
        <v>0</v>
      </c>
      <c r="K37" s="54">
        <f t="shared" si="3"/>
        <v>0</v>
      </c>
      <c r="L37" s="54">
        <f t="shared" si="3"/>
        <v>0</v>
      </c>
      <c r="M37" s="54">
        <f t="shared" si="3"/>
        <v>0</v>
      </c>
      <c r="N37" s="54">
        <f t="shared" si="3"/>
        <v>0</v>
      </c>
      <c r="O37" s="54">
        <f>SUM(C37:N37)</f>
        <v>0</v>
      </c>
      <c r="P37" s="78"/>
      <c r="Q37" s="31"/>
      <c r="R37" s="39"/>
    </row>
    <row r="38" spans="1:18" x14ac:dyDescent="0.25">
      <c r="A38" s="38"/>
      <c r="B38" s="1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78"/>
      <c r="Q38" s="31"/>
      <c r="R38" s="39"/>
    </row>
    <row r="39" spans="1:18" x14ac:dyDescent="0.25">
      <c r="A39" s="38"/>
      <c r="B39" s="33" t="s">
        <v>198</v>
      </c>
      <c r="C39" s="54">
        <f>+C31+C32-C34-C35-C36-C37</f>
        <v>0</v>
      </c>
      <c r="D39" s="54">
        <f t="shared" ref="D39:N39" si="4">+D31+D32-D34-D35-D36-D37</f>
        <v>0</v>
      </c>
      <c r="E39" s="54">
        <f t="shared" si="4"/>
        <v>0</v>
      </c>
      <c r="F39" s="54">
        <f t="shared" si="4"/>
        <v>0</v>
      </c>
      <c r="G39" s="54">
        <f t="shared" si="4"/>
        <v>0</v>
      </c>
      <c r="H39" s="54">
        <f t="shared" si="4"/>
        <v>0</v>
      </c>
      <c r="I39" s="54">
        <f t="shared" si="4"/>
        <v>0</v>
      </c>
      <c r="J39" s="54">
        <f t="shared" si="4"/>
        <v>0</v>
      </c>
      <c r="K39" s="54">
        <f t="shared" si="4"/>
        <v>0</v>
      </c>
      <c r="L39" s="54">
        <f t="shared" si="4"/>
        <v>0</v>
      </c>
      <c r="M39" s="54">
        <f t="shared" si="4"/>
        <v>0</v>
      </c>
      <c r="N39" s="54">
        <f t="shared" si="4"/>
        <v>0</v>
      </c>
      <c r="O39" s="54">
        <f>SUM(C39:N39)</f>
        <v>0</v>
      </c>
      <c r="P39" s="78"/>
      <c r="Q39" s="31"/>
      <c r="R39" s="39"/>
    </row>
    <row r="40" spans="1:18" x14ac:dyDescent="0.25">
      <c r="A40" s="38"/>
      <c r="B40" s="3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78"/>
      <c r="Q40" s="31"/>
      <c r="R40" s="39"/>
    </row>
    <row r="41" spans="1:18" s="9" customFormat="1" x14ac:dyDescent="0.25">
      <c r="A41" s="61"/>
      <c r="B41" s="92" t="s">
        <v>201</v>
      </c>
      <c r="C41" s="171"/>
      <c r="D41" s="171">
        <f>C39</f>
        <v>0</v>
      </c>
      <c r="E41" s="171">
        <f t="shared" ref="E41:N41" si="5">D39</f>
        <v>0</v>
      </c>
      <c r="F41" s="171">
        <f t="shared" si="5"/>
        <v>0</v>
      </c>
      <c r="G41" s="171">
        <f t="shared" si="5"/>
        <v>0</v>
      </c>
      <c r="H41" s="171">
        <f t="shared" si="5"/>
        <v>0</v>
      </c>
      <c r="I41" s="171">
        <f t="shared" si="5"/>
        <v>0</v>
      </c>
      <c r="J41" s="171">
        <f t="shared" si="5"/>
        <v>0</v>
      </c>
      <c r="K41" s="171">
        <f t="shared" si="5"/>
        <v>0</v>
      </c>
      <c r="L41" s="171">
        <f t="shared" si="5"/>
        <v>0</v>
      </c>
      <c r="M41" s="171">
        <f t="shared" si="5"/>
        <v>0</v>
      </c>
      <c r="N41" s="171">
        <f t="shared" si="5"/>
        <v>0</v>
      </c>
      <c r="O41" s="171">
        <f>SUM(C41:N41)</f>
        <v>0</v>
      </c>
      <c r="P41" s="173">
        <f>N39</f>
        <v>0</v>
      </c>
      <c r="Q41" s="172"/>
      <c r="R41" s="62"/>
    </row>
    <row r="42" spans="1:18" s="9" customFormat="1" x14ac:dyDescent="0.25">
      <c r="A42" s="61"/>
      <c r="B42" s="92" t="s">
        <v>202</v>
      </c>
      <c r="C42" s="171"/>
      <c r="D42" s="171"/>
      <c r="E42" s="171"/>
      <c r="F42" s="171">
        <f>C39+D39+E39</f>
        <v>0</v>
      </c>
      <c r="G42" s="171"/>
      <c r="H42" s="171"/>
      <c r="I42" s="171">
        <f>G39+H39+F39</f>
        <v>0</v>
      </c>
      <c r="K42" s="171"/>
      <c r="L42" s="171">
        <f>J39+K39+I39</f>
        <v>0</v>
      </c>
      <c r="M42" s="171"/>
      <c r="N42" s="171"/>
      <c r="O42" s="171">
        <f>SUM(C42:N42)</f>
        <v>0</v>
      </c>
      <c r="P42" s="173">
        <f>L39+M39+N39</f>
        <v>0</v>
      </c>
      <c r="Q42" s="172"/>
      <c r="R42" s="62"/>
    </row>
    <row r="43" spans="1:18" s="9" customFormat="1" x14ac:dyDescent="0.25">
      <c r="A43" s="61"/>
      <c r="B43" s="92" t="s">
        <v>203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>
        <f>SUM(C43:N43)</f>
        <v>0</v>
      </c>
      <c r="P43" s="173">
        <f>SUM(C39:N39)</f>
        <v>0</v>
      </c>
      <c r="Q43" s="172"/>
      <c r="R43" s="62"/>
    </row>
    <row r="44" spans="1:18" x14ac:dyDescent="0.25">
      <c r="A44" s="38"/>
      <c r="B44" s="3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78"/>
      <c r="Q44" s="31"/>
      <c r="R44" s="39"/>
    </row>
    <row r="45" spans="1:18" s="179" customFormat="1" x14ac:dyDescent="0.25">
      <c r="A45" s="174"/>
      <c r="B45" s="175" t="s">
        <v>304</v>
      </c>
      <c r="C45" s="176">
        <f>IF(Caractéristiques!$C$36="Mensuel",'Calcul prévi'!C41,IF(Caractéristiques!$C$36="Trimestriel",'Calcul prévi'!C42,IF(Caractéristiques!$C$36="Annuel",'Calcul prévi'!C43,IF(Caractéristiques!$C$36="Exonéré",0,erreur))))</f>
        <v>0</v>
      </c>
      <c r="D45" s="176">
        <f>IF(Caractéristiques!$C$36="Mensuel",'Calcul prévi'!D41,IF(Caractéristiques!$C$36="Trimestriel",'Calcul prévi'!D42,IF(Caractéristiques!$C$36="Annuel",'Calcul prévi'!D43,IF(Caractéristiques!$C$36="Exonéré",0,erreur))))</f>
        <v>0</v>
      </c>
      <c r="E45" s="176">
        <f>IF(Caractéristiques!$C$36="Mensuel",'Calcul prévi'!E41,IF(Caractéristiques!$C$36="Trimestriel",'Calcul prévi'!E42,IF(Caractéristiques!$C$36="Annuel",'Calcul prévi'!E43,IF(Caractéristiques!$C$36="Exonéré",0,erreur))))</f>
        <v>0</v>
      </c>
      <c r="F45" s="176">
        <f>IF(Caractéristiques!$C$36="Mensuel",'Calcul prévi'!F41,IF(Caractéristiques!$C$36="Trimestriel",'Calcul prévi'!F42,IF(Caractéristiques!$C$36="Annuel",'Calcul prévi'!F43,IF(Caractéristiques!$C$36="Exonéré",0,erreur))))</f>
        <v>0</v>
      </c>
      <c r="G45" s="176">
        <f>IF(Caractéristiques!$C$36="Mensuel",'Calcul prévi'!G41,IF(Caractéristiques!$C$36="Trimestriel",'Calcul prévi'!G42,IF(Caractéristiques!$C$36="Annuel",'Calcul prévi'!G43,IF(Caractéristiques!$C$36="Exonéré",0,erreur))))</f>
        <v>0</v>
      </c>
      <c r="H45" s="176">
        <f>IF(Caractéristiques!$C$36="Mensuel",'Calcul prévi'!H41,IF(Caractéristiques!$C$36="Trimestriel",'Calcul prévi'!H42,IF(Caractéristiques!$C$36="Annuel",'Calcul prévi'!H43,IF(Caractéristiques!$C$36="Exonéré",0,erreur))))</f>
        <v>0</v>
      </c>
      <c r="I45" s="176">
        <f>IF(Caractéristiques!$C$36="Mensuel",'Calcul prévi'!I41,IF(Caractéristiques!$C$36="Trimestriel",'Calcul prévi'!I42,IF(Caractéristiques!$C$36="Annuel",'Calcul prévi'!I43,IF(Caractéristiques!$C$36="Exonéré",0,erreur))))</f>
        <v>0</v>
      </c>
      <c r="J45" s="176">
        <f>IF(Caractéristiques!$C$36="Mensuel",'Calcul prévi'!J41,IF(Caractéristiques!$C$36="Trimestriel",'Calcul prévi'!J42,IF(Caractéristiques!$C$36="Annuel",'Calcul prévi'!J43,IF(Caractéristiques!$C$36="Exonéré",0,erreur))))</f>
        <v>0</v>
      </c>
      <c r="K45" s="176">
        <f>IF(Caractéristiques!$C$36="Mensuel",'Calcul prévi'!K41,IF(Caractéristiques!$C$36="Trimestriel",'Calcul prévi'!K42,IF(Caractéristiques!$C$36="Annuel",'Calcul prévi'!K43,IF(Caractéristiques!$C$36="Exonéré",0,erreur))))</f>
        <v>0</v>
      </c>
      <c r="L45" s="176">
        <f>IF(Caractéristiques!$C$36="Mensuel",'Calcul prévi'!L41,IF(Caractéristiques!$C$36="Trimestriel",'Calcul prévi'!L42,IF(Caractéristiques!$C$36="Annuel",'Calcul prévi'!L43,IF(Caractéristiques!$C$36="Exonéré",0,erreur))))</f>
        <v>0</v>
      </c>
      <c r="M45" s="176">
        <f>IF(Caractéristiques!$C$36="Mensuel",'Calcul prévi'!M41,IF(Caractéristiques!$C$36="Trimestriel",'Calcul prévi'!M42,IF(Caractéristiques!$C$36="Annuel",'Calcul prévi'!M43,IF(Caractéristiques!$C$36="Exonéré",0,erreur))))</f>
        <v>0</v>
      </c>
      <c r="N45" s="176">
        <f>IF(Caractéristiques!$C$36="Mensuel",'Calcul prévi'!N41,IF(Caractéristiques!$C$36="Trimestriel",'Calcul prévi'!N42,IF(Caractéristiques!$C$36="Annuel",'Calcul prévi'!N43,IF(Caractéristiques!$C$36="Exonéré",0,erreur))))</f>
        <v>0</v>
      </c>
      <c r="O45" s="176">
        <f>IF(Caractéristiques!$C$36="Mensuel",'Calcul prévi'!O41,IF(Caractéristiques!$C$36="Trimestriel",'Calcul prévi'!O42,IF(Caractéristiques!$C$36="Annuel",'Calcul prévi'!O43,IF(Caractéristiques!$C$36="Exonéré",0,erreur))))</f>
        <v>0</v>
      </c>
      <c r="P45" s="180"/>
      <c r="Q45" s="177"/>
      <c r="R45" s="178"/>
    </row>
    <row r="46" spans="1:18" s="179" customFormat="1" x14ac:dyDescent="0.25">
      <c r="A46" s="174"/>
      <c r="B46" s="175" t="s">
        <v>305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>
        <f>IF(Caractéristiques!$C$36="Mensuel",'Calcul prévi'!P41,IF(Caractéristiques!$C$36="Trimestriel",'Calcul prévi'!P42,IF(Caractéristiques!$C$36="Annuel",'Calcul prévi'!P43,IF(Caractéristiques!$C$36="Exonéré",0,erreur))))</f>
        <v>0</v>
      </c>
      <c r="Q46" s="177"/>
      <c r="R46" s="178"/>
    </row>
    <row r="47" spans="1:18" x14ac:dyDescent="0.25">
      <c r="A47" s="38"/>
      <c r="B47" s="3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78"/>
      <c r="Q47" s="31"/>
      <c r="R47" s="39"/>
    </row>
    <row r="48" spans="1:18" x14ac:dyDescent="0.25">
      <c r="A48" s="38"/>
      <c r="B48" s="29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9"/>
    </row>
    <row r="49" spans="1:18" ht="18.75" x14ac:dyDescent="0.25">
      <c r="A49" s="38"/>
      <c r="B49" s="45" t="s">
        <v>147</v>
      </c>
      <c r="C49" s="46" t="s">
        <v>149</v>
      </c>
      <c r="D49" s="46" t="s">
        <v>150</v>
      </c>
      <c r="E49" s="46" t="s">
        <v>151</v>
      </c>
      <c r="F49" s="46" t="s">
        <v>152</v>
      </c>
      <c r="G49" s="46" t="s">
        <v>153</v>
      </c>
      <c r="H49" s="46" t="s">
        <v>154</v>
      </c>
      <c r="I49" s="46" t="s">
        <v>155</v>
      </c>
      <c r="J49" s="46" t="s">
        <v>156</v>
      </c>
      <c r="K49" s="46" t="s">
        <v>157</v>
      </c>
      <c r="L49" s="46" t="s">
        <v>158</v>
      </c>
      <c r="M49" s="46" t="s">
        <v>159</v>
      </c>
      <c r="N49" s="46" t="s">
        <v>160</v>
      </c>
      <c r="O49" s="46" t="s">
        <v>240</v>
      </c>
      <c r="P49" s="50" t="s">
        <v>204</v>
      </c>
      <c r="Q49" s="31"/>
      <c r="R49" s="39"/>
    </row>
    <row r="50" spans="1:18" x14ac:dyDescent="0.25">
      <c r="A50" s="38"/>
      <c r="B50" s="33" t="s">
        <v>55</v>
      </c>
      <c r="C50" s="54">
        <f>Activité!C47*Caractéristiques!$C$37</f>
        <v>0</v>
      </c>
      <c r="D50" s="54">
        <f>Activité!D47*Caractéristiques!$C$37</f>
        <v>0</v>
      </c>
      <c r="E50" s="54">
        <f>Activité!E47*Caractéristiques!$C$37</f>
        <v>0</v>
      </c>
      <c r="F50" s="54">
        <f>Activité!F47*Caractéristiques!$C$37</f>
        <v>0</v>
      </c>
      <c r="G50" s="54">
        <f>Activité!G47*Caractéristiques!$C$37</f>
        <v>0</v>
      </c>
      <c r="H50" s="54">
        <f>Activité!H47*Caractéristiques!$C$37</f>
        <v>0</v>
      </c>
      <c r="I50" s="54">
        <f>Activité!I47*Caractéristiques!$C$37</f>
        <v>0</v>
      </c>
      <c r="J50" s="54">
        <f>Activité!J47*Caractéristiques!$C$37</f>
        <v>0</v>
      </c>
      <c r="K50" s="54">
        <f>Activité!K47*Caractéristiques!$C$37</f>
        <v>0</v>
      </c>
      <c r="L50" s="54">
        <f>Activité!L47*Caractéristiques!$C$37</f>
        <v>0</v>
      </c>
      <c r="M50" s="54">
        <f>Activité!M47*Caractéristiques!$C$37</f>
        <v>0</v>
      </c>
      <c r="N50" s="54">
        <f>Activité!N47*Caractéristiques!$C$37</f>
        <v>0</v>
      </c>
      <c r="O50" s="54">
        <f>SUM(C50:N50)</f>
        <v>0</v>
      </c>
      <c r="P50" s="78"/>
      <c r="Q50" s="31"/>
      <c r="R50" s="39"/>
    </row>
    <row r="51" spans="1:18" x14ac:dyDescent="0.25">
      <c r="A51" s="38"/>
      <c r="B51" s="33" t="s">
        <v>455</v>
      </c>
      <c r="C51" s="54">
        <f>'Calcul prévi'!C619</f>
        <v>0</v>
      </c>
      <c r="D51" s="54">
        <f>'Calcul prévi'!D619</f>
        <v>0</v>
      </c>
      <c r="E51" s="54">
        <f>'Calcul prévi'!E619</f>
        <v>0</v>
      </c>
      <c r="F51" s="54">
        <f>'Calcul prévi'!F619</f>
        <v>0</v>
      </c>
      <c r="G51" s="54">
        <f>'Calcul prévi'!G619</f>
        <v>0</v>
      </c>
      <c r="H51" s="54">
        <f>'Calcul prévi'!H619</f>
        <v>0</v>
      </c>
      <c r="I51" s="54">
        <f>'Calcul prévi'!I619</f>
        <v>0</v>
      </c>
      <c r="J51" s="54">
        <f>'Calcul prévi'!J619</f>
        <v>0</v>
      </c>
      <c r="K51" s="54">
        <f>'Calcul prévi'!K619</f>
        <v>0</v>
      </c>
      <c r="L51" s="54">
        <f>'Calcul prévi'!L619</f>
        <v>0</v>
      </c>
      <c r="M51" s="54">
        <f>'Calcul prévi'!M619</f>
        <v>0</v>
      </c>
      <c r="N51" s="54">
        <f>'Calcul prévi'!N619</f>
        <v>0</v>
      </c>
      <c r="O51" s="54">
        <f t="shared" ref="O51" si="6">SUM(C51:N51)</f>
        <v>0</v>
      </c>
      <c r="P51" s="78"/>
      <c r="Q51" s="31"/>
      <c r="R51" s="39"/>
    </row>
    <row r="52" spans="1:18" x14ac:dyDescent="0.25">
      <c r="A52" s="38"/>
      <c r="B52" s="3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78"/>
      <c r="Q52" s="31"/>
      <c r="R52" s="39"/>
    </row>
    <row r="53" spans="1:18" x14ac:dyDescent="0.25">
      <c r="A53" s="38"/>
      <c r="B53" s="33" t="s">
        <v>197</v>
      </c>
      <c r="C53" s="54">
        <f>(Activité!C50)*Caractéristiques!$C$38</f>
        <v>0</v>
      </c>
      <c r="D53" s="54">
        <f>Activité!D50*Caractéristiques!$C$38</f>
        <v>0</v>
      </c>
      <c r="E53" s="54">
        <f>Activité!E50*Caractéristiques!$C$38</f>
        <v>0</v>
      </c>
      <c r="F53" s="54">
        <f>Activité!F50*Caractéristiques!$C$38</f>
        <v>0</v>
      </c>
      <c r="G53" s="54">
        <f>Activité!G50*Caractéristiques!$C$38</f>
        <v>0</v>
      </c>
      <c r="H53" s="54">
        <f>Activité!H50*Caractéristiques!$C$38</f>
        <v>0</v>
      </c>
      <c r="I53" s="54">
        <f>Activité!I50*Caractéristiques!$C$38</f>
        <v>0</v>
      </c>
      <c r="J53" s="54">
        <f>Activité!J50*Caractéristiques!$C$38</f>
        <v>0</v>
      </c>
      <c r="K53" s="54">
        <f>Activité!K50*Caractéristiques!$C$38</f>
        <v>0</v>
      </c>
      <c r="L53" s="54">
        <f>Activité!L50*Caractéristiques!$C$38</f>
        <v>0</v>
      </c>
      <c r="M53" s="54">
        <f>Activité!M50*Caractéristiques!$C$38</f>
        <v>0</v>
      </c>
      <c r="N53" s="54">
        <f>Activité!N50*Caractéristiques!$C$38</f>
        <v>0</v>
      </c>
      <c r="O53" s="54">
        <f>Activité!O50*Caractéristiques!$C$38</f>
        <v>0</v>
      </c>
      <c r="P53" s="78"/>
      <c r="Q53" s="31"/>
      <c r="R53" s="39"/>
    </row>
    <row r="54" spans="1:18" x14ac:dyDescent="0.25">
      <c r="A54" s="38"/>
      <c r="B54" s="33" t="s">
        <v>196</v>
      </c>
      <c r="C54" s="54">
        <f>'Frais généraux'!$E$79/12</f>
        <v>0</v>
      </c>
      <c r="D54" s="54">
        <f>'Frais généraux'!$E$79/12</f>
        <v>0</v>
      </c>
      <c r="E54" s="54">
        <f>'Frais généraux'!$E$79/12</f>
        <v>0</v>
      </c>
      <c r="F54" s="54">
        <f>'Frais généraux'!$E$79/12</f>
        <v>0</v>
      </c>
      <c r="G54" s="54">
        <f>'Frais généraux'!$E$79/12</f>
        <v>0</v>
      </c>
      <c r="H54" s="54">
        <f>'Frais généraux'!$E$79/12</f>
        <v>0</v>
      </c>
      <c r="I54" s="54">
        <f>'Frais généraux'!$E$79/12</f>
        <v>0</v>
      </c>
      <c r="J54" s="54">
        <f>'Frais généraux'!$E$79/12</f>
        <v>0</v>
      </c>
      <c r="K54" s="54">
        <f>'Frais généraux'!$E$79/12</f>
        <v>0</v>
      </c>
      <c r="L54" s="54">
        <f>'Frais généraux'!$E$79/12</f>
        <v>0</v>
      </c>
      <c r="M54" s="54">
        <f>'Frais généraux'!$E$79/12</f>
        <v>0</v>
      </c>
      <c r="N54" s="54">
        <f>'Frais généraux'!$E$79/12</f>
        <v>0</v>
      </c>
      <c r="O54" s="54">
        <f>SUM(C54:N54)</f>
        <v>0</v>
      </c>
      <c r="P54" s="78"/>
      <c r="Q54" s="31"/>
      <c r="R54" s="39"/>
    </row>
    <row r="55" spans="1:18" x14ac:dyDescent="0.25">
      <c r="A55" s="38"/>
      <c r="B55" s="33" t="s">
        <v>379</v>
      </c>
      <c r="C55" s="54">
        <f t="shared" ref="C55:N55" si="7">H525</f>
        <v>0</v>
      </c>
      <c r="D55" s="54">
        <f t="shared" si="7"/>
        <v>0</v>
      </c>
      <c r="E55" s="54">
        <f t="shared" si="7"/>
        <v>0</v>
      </c>
      <c r="F55" s="54">
        <f t="shared" si="7"/>
        <v>0</v>
      </c>
      <c r="G55" s="54">
        <f t="shared" si="7"/>
        <v>0</v>
      </c>
      <c r="H55" s="54">
        <f t="shared" si="7"/>
        <v>0</v>
      </c>
      <c r="I55" s="54">
        <f t="shared" si="7"/>
        <v>0</v>
      </c>
      <c r="J55" s="54">
        <f t="shared" si="7"/>
        <v>0</v>
      </c>
      <c r="K55" s="54">
        <f t="shared" si="7"/>
        <v>0</v>
      </c>
      <c r="L55" s="54">
        <f t="shared" si="7"/>
        <v>0</v>
      </c>
      <c r="M55" s="54">
        <f t="shared" si="7"/>
        <v>0</v>
      </c>
      <c r="N55" s="54">
        <f t="shared" si="7"/>
        <v>0</v>
      </c>
      <c r="O55" s="54">
        <f>SUM(C55:N55)</f>
        <v>0</v>
      </c>
      <c r="P55" s="78"/>
      <c r="Q55" s="31"/>
      <c r="R55" s="39"/>
    </row>
    <row r="56" spans="1:18" x14ac:dyDescent="0.25">
      <c r="A56" s="38"/>
      <c r="B56" s="33" t="s">
        <v>440</v>
      </c>
      <c r="C56" s="54">
        <f>C593</f>
        <v>0</v>
      </c>
      <c r="D56" s="54">
        <f t="shared" ref="D56:N56" si="8">D593</f>
        <v>0</v>
      </c>
      <c r="E56" s="54">
        <f t="shared" si="8"/>
        <v>0</v>
      </c>
      <c r="F56" s="54">
        <f t="shared" si="8"/>
        <v>0</v>
      </c>
      <c r="G56" s="54">
        <f t="shared" si="8"/>
        <v>0</v>
      </c>
      <c r="H56" s="54">
        <f t="shared" si="8"/>
        <v>0</v>
      </c>
      <c r="I56" s="54">
        <f t="shared" si="8"/>
        <v>0</v>
      </c>
      <c r="J56" s="54">
        <f t="shared" si="8"/>
        <v>0</v>
      </c>
      <c r="K56" s="54">
        <f t="shared" si="8"/>
        <v>0</v>
      </c>
      <c r="L56" s="54">
        <f t="shared" si="8"/>
        <v>0</v>
      </c>
      <c r="M56" s="54">
        <f t="shared" si="8"/>
        <v>0</v>
      </c>
      <c r="N56" s="54">
        <f t="shared" si="8"/>
        <v>0</v>
      </c>
      <c r="O56" s="54">
        <f>SUM(C56:N56)</f>
        <v>0</v>
      </c>
      <c r="P56" s="78"/>
      <c r="Q56" s="31"/>
      <c r="R56" s="39"/>
    </row>
    <row r="57" spans="1:18" x14ac:dyDescent="0.25">
      <c r="A57" s="38"/>
      <c r="B57" s="1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78"/>
      <c r="Q57" s="31"/>
      <c r="R57" s="39"/>
    </row>
    <row r="58" spans="1:18" x14ac:dyDescent="0.25">
      <c r="A58" s="38"/>
      <c r="B58" s="33" t="s">
        <v>198</v>
      </c>
      <c r="C58" s="54">
        <f>+C50+C51-C53-C54-C55-C56</f>
        <v>0</v>
      </c>
      <c r="D58" s="54">
        <f t="shared" ref="D58:N58" si="9">+D50+D51-D53-D54-D55-D56</f>
        <v>0</v>
      </c>
      <c r="E58" s="54">
        <f t="shared" si="9"/>
        <v>0</v>
      </c>
      <c r="F58" s="54">
        <f t="shared" si="9"/>
        <v>0</v>
      </c>
      <c r="G58" s="54">
        <f t="shared" si="9"/>
        <v>0</v>
      </c>
      <c r="H58" s="54">
        <f t="shared" si="9"/>
        <v>0</v>
      </c>
      <c r="I58" s="54">
        <f t="shared" si="9"/>
        <v>0</v>
      </c>
      <c r="J58" s="54">
        <f t="shared" si="9"/>
        <v>0</v>
      </c>
      <c r="K58" s="54">
        <f t="shared" si="9"/>
        <v>0</v>
      </c>
      <c r="L58" s="54">
        <f t="shared" si="9"/>
        <v>0</v>
      </c>
      <c r="M58" s="54">
        <f t="shared" si="9"/>
        <v>0</v>
      </c>
      <c r="N58" s="54">
        <f t="shared" si="9"/>
        <v>0</v>
      </c>
      <c r="O58" s="54">
        <f>SUM(C58:N58)</f>
        <v>0</v>
      </c>
      <c r="P58" s="78"/>
      <c r="Q58" s="31"/>
      <c r="R58" s="39"/>
    </row>
    <row r="59" spans="1:18" x14ac:dyDescent="0.25">
      <c r="A59" s="38"/>
      <c r="B59" s="3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78"/>
      <c r="Q59" s="31"/>
      <c r="R59" s="39"/>
    </row>
    <row r="60" spans="1:18" x14ac:dyDescent="0.25">
      <c r="A60" s="38"/>
      <c r="B60" s="33" t="s">
        <v>201</v>
      </c>
      <c r="C60" s="54">
        <f>N39</f>
        <v>0</v>
      </c>
      <c r="D60" s="54">
        <f>C58</f>
        <v>0</v>
      </c>
      <c r="E60" s="54">
        <f t="shared" ref="E60:N60" si="10">D58</f>
        <v>0</v>
      </c>
      <c r="F60" s="54">
        <f t="shared" si="10"/>
        <v>0</v>
      </c>
      <c r="G60" s="54">
        <f t="shared" si="10"/>
        <v>0</v>
      </c>
      <c r="H60" s="54">
        <f t="shared" si="10"/>
        <v>0</v>
      </c>
      <c r="I60" s="54">
        <f t="shared" si="10"/>
        <v>0</v>
      </c>
      <c r="J60" s="54">
        <f t="shared" si="10"/>
        <v>0</v>
      </c>
      <c r="K60" s="54">
        <f t="shared" si="10"/>
        <v>0</v>
      </c>
      <c r="L60" s="54">
        <f t="shared" si="10"/>
        <v>0</v>
      </c>
      <c r="M60" s="54">
        <f t="shared" si="10"/>
        <v>0</v>
      </c>
      <c r="N60" s="54">
        <f t="shared" si="10"/>
        <v>0</v>
      </c>
      <c r="O60" s="54">
        <f>SUM(C60:N60)</f>
        <v>0</v>
      </c>
      <c r="P60" s="78">
        <f>N58</f>
        <v>0</v>
      </c>
      <c r="Q60" s="31"/>
      <c r="R60" s="39"/>
    </row>
    <row r="61" spans="1:18" x14ac:dyDescent="0.25">
      <c r="A61" s="38"/>
      <c r="B61" s="33" t="s">
        <v>202</v>
      </c>
      <c r="C61" s="54">
        <f>L41+M41+N41</f>
        <v>0</v>
      </c>
      <c r="D61" s="54"/>
      <c r="E61" s="54"/>
      <c r="F61" s="54">
        <f>C58+D58+E58</f>
        <v>0</v>
      </c>
      <c r="G61" s="54"/>
      <c r="H61" s="54"/>
      <c r="I61" s="54">
        <f>G58+H58+F58</f>
        <v>0</v>
      </c>
      <c r="K61" s="54"/>
      <c r="L61" s="54">
        <f>J58+K58+I58</f>
        <v>0</v>
      </c>
      <c r="M61" s="54"/>
      <c r="N61" s="54"/>
      <c r="O61" s="54">
        <f>SUM(C61:N61)</f>
        <v>0</v>
      </c>
      <c r="P61" s="78">
        <f>L58+M58+N58</f>
        <v>0</v>
      </c>
      <c r="Q61" s="31"/>
      <c r="R61" s="39"/>
    </row>
    <row r="62" spans="1:18" x14ac:dyDescent="0.25">
      <c r="A62" s="38"/>
      <c r="B62" s="33" t="s">
        <v>203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>
        <f>SUM(C62:N62)</f>
        <v>0</v>
      </c>
      <c r="P62" s="78">
        <f>SUM(C58:N58)</f>
        <v>0</v>
      </c>
      <c r="Q62" s="31"/>
      <c r="R62" s="39"/>
    </row>
    <row r="63" spans="1:18" x14ac:dyDescent="0.25">
      <c r="A63" s="38"/>
      <c r="B63" s="33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78"/>
      <c r="Q63" s="31"/>
      <c r="R63" s="39"/>
    </row>
    <row r="64" spans="1:18" x14ac:dyDescent="0.25">
      <c r="A64" s="38"/>
      <c r="B64" s="175" t="s">
        <v>304</v>
      </c>
      <c r="C64" s="176">
        <f>IF(Caractéristiques!$C$36="Mensuel",'Calcul prévi'!C60,IF(Caractéristiques!$C$36="Trimestriel",'Calcul prévi'!C61,IF(Caractéristiques!$C$36="Annuel",'Calcul prévi'!C62,IF(Caractéristiques!$C$36="Exonéré",0,erreur))))</f>
        <v>0</v>
      </c>
      <c r="D64" s="176">
        <f>IF(Caractéristiques!$C$36="Mensuel",'Calcul prévi'!D60,IF(Caractéristiques!$C$36="Trimestriel",'Calcul prévi'!D61,IF(Caractéristiques!$C$36="Annuel",'Calcul prévi'!D62,IF(Caractéristiques!$C$36="Exonéré",0,erreur))))</f>
        <v>0</v>
      </c>
      <c r="E64" s="176">
        <f>IF(Caractéristiques!$C$36="Mensuel",'Calcul prévi'!E60,IF(Caractéristiques!$C$36="Trimestriel",'Calcul prévi'!E61,IF(Caractéristiques!$C$36="Annuel",'Calcul prévi'!E62,IF(Caractéristiques!$C$36="Exonéré",0,erreur))))</f>
        <v>0</v>
      </c>
      <c r="F64" s="176">
        <f>IF(Caractéristiques!$C$36="Mensuel",'Calcul prévi'!F60,IF(Caractéristiques!$C$36="Trimestriel",'Calcul prévi'!F61,IF(Caractéristiques!$C$36="Annuel",'Calcul prévi'!F62,IF(Caractéristiques!$C$36="Exonéré",0,erreur))))</f>
        <v>0</v>
      </c>
      <c r="G64" s="176">
        <f>IF(Caractéristiques!$C$36="Mensuel",'Calcul prévi'!G60,IF(Caractéristiques!$C$36="Trimestriel",'Calcul prévi'!G61,IF(Caractéristiques!$C$36="Annuel",'Calcul prévi'!G62,IF(Caractéristiques!$C$36="Exonéré",0,erreur))))</f>
        <v>0</v>
      </c>
      <c r="H64" s="176">
        <f>IF(Caractéristiques!$C$36="Mensuel",'Calcul prévi'!H60,IF(Caractéristiques!$C$36="Trimestriel",'Calcul prévi'!H61,IF(Caractéristiques!$C$36="Annuel",'Calcul prévi'!H62,IF(Caractéristiques!$C$36="Exonéré",0,erreur))))</f>
        <v>0</v>
      </c>
      <c r="I64" s="176">
        <f>IF(Caractéristiques!$C$36="Mensuel",'Calcul prévi'!I60,IF(Caractéristiques!$C$36="Trimestriel",'Calcul prévi'!I61,IF(Caractéristiques!$C$36="Annuel",'Calcul prévi'!I62,IF(Caractéristiques!$C$36="Exonéré",0,erreur))))</f>
        <v>0</v>
      </c>
      <c r="J64" s="176">
        <f>IF(Caractéristiques!$C$36="Mensuel",'Calcul prévi'!J60,IF(Caractéristiques!$C$36="Trimestriel",'Calcul prévi'!J61,IF(Caractéristiques!$C$36="Annuel",'Calcul prévi'!J62,IF(Caractéristiques!$C$36="Exonéré",0,erreur))))</f>
        <v>0</v>
      </c>
      <c r="K64" s="176">
        <f>IF(Caractéristiques!$C$36="Mensuel",'Calcul prévi'!K60,IF(Caractéristiques!$C$36="Trimestriel",'Calcul prévi'!K61,IF(Caractéristiques!$C$36="Annuel",'Calcul prévi'!K62,IF(Caractéristiques!$C$36="Exonéré",0,erreur))))</f>
        <v>0</v>
      </c>
      <c r="L64" s="176">
        <f>IF(Caractéristiques!$C$36="Mensuel",'Calcul prévi'!L60,IF(Caractéristiques!$C$36="Trimestriel",'Calcul prévi'!L61,IF(Caractéristiques!$C$36="Annuel",'Calcul prévi'!L62,IF(Caractéristiques!$C$36="Exonéré",0,erreur))))</f>
        <v>0</v>
      </c>
      <c r="M64" s="176">
        <f>IF(Caractéristiques!$C$36="Mensuel",'Calcul prévi'!M60,IF(Caractéristiques!$C$36="Trimestriel",'Calcul prévi'!M61,IF(Caractéristiques!$C$36="Annuel",'Calcul prévi'!M62,IF(Caractéristiques!$C$36="Exonéré",0,erreur))))</f>
        <v>0</v>
      </c>
      <c r="N64" s="176">
        <f>IF(Caractéristiques!$C$36="Mensuel",'Calcul prévi'!N60,IF(Caractéristiques!$C$36="Trimestriel",'Calcul prévi'!N61,IF(Caractéristiques!$C$36="Annuel",'Calcul prévi'!N62,IF(Caractéristiques!$C$36="Exonéré",0,erreur))))</f>
        <v>0</v>
      </c>
      <c r="O64" s="176">
        <f>IF(Caractéristiques!$C$36="Mensuel",'Calcul prévi'!O60,IF(Caractéristiques!$C$36="Trimestriel",'Calcul prévi'!O61,IF(Caractéristiques!$C$36="Annuel",'Calcul prévi'!O62,IF(Caractéristiques!$C$36="Exonéré",0,erreur))))</f>
        <v>0</v>
      </c>
      <c r="P64" s="180"/>
      <c r="Q64" s="31"/>
      <c r="R64" s="39"/>
    </row>
    <row r="65" spans="1:18" x14ac:dyDescent="0.25">
      <c r="A65" s="38"/>
      <c r="B65" s="175" t="s">
        <v>305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>
        <f>IF(Caractéristiques!$C$36="Mensuel",'Calcul prévi'!P60,IF(Caractéristiques!$C$36="Trimestriel",'Calcul prévi'!P61,IF(Caractéristiques!$C$36="Annuel",'Calcul prévi'!P62,IF(Caractéristiques!$C$36="Exonéré",0,erreur))))</f>
        <v>0</v>
      </c>
      <c r="Q65" s="31"/>
      <c r="R65" s="39"/>
    </row>
    <row r="66" spans="1:18" x14ac:dyDescent="0.25">
      <c r="A66" s="38"/>
      <c r="B66" s="3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78"/>
      <c r="Q66" s="31"/>
      <c r="R66" s="39"/>
    </row>
    <row r="67" spans="1:18" x14ac:dyDescent="0.25">
      <c r="A67" s="38"/>
      <c r="B67" s="29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9"/>
    </row>
    <row r="68" spans="1:18" ht="18.75" x14ac:dyDescent="0.25">
      <c r="A68" s="38"/>
      <c r="B68" s="45" t="s">
        <v>148</v>
      </c>
      <c r="C68" s="46" t="s">
        <v>149</v>
      </c>
      <c r="D68" s="46" t="s">
        <v>150</v>
      </c>
      <c r="E68" s="46" t="s">
        <v>151</v>
      </c>
      <c r="F68" s="46" t="s">
        <v>152</v>
      </c>
      <c r="G68" s="46" t="s">
        <v>153</v>
      </c>
      <c r="H68" s="46" t="s">
        <v>154</v>
      </c>
      <c r="I68" s="46" t="s">
        <v>155</v>
      </c>
      <c r="J68" s="46" t="s">
        <v>156</v>
      </c>
      <c r="K68" s="46" t="s">
        <v>157</v>
      </c>
      <c r="L68" s="46" t="s">
        <v>158</v>
      </c>
      <c r="M68" s="46" t="s">
        <v>159</v>
      </c>
      <c r="N68" s="46" t="s">
        <v>160</v>
      </c>
      <c r="O68" s="46" t="s">
        <v>240</v>
      </c>
      <c r="P68" s="50" t="s">
        <v>204</v>
      </c>
      <c r="Q68" s="31"/>
      <c r="R68" s="39"/>
    </row>
    <row r="69" spans="1:18" x14ac:dyDescent="0.25">
      <c r="A69" s="38"/>
      <c r="B69" s="33" t="s">
        <v>55</v>
      </c>
      <c r="C69" s="54">
        <f>Activité!C65*Caractéristiques!$C$37</f>
        <v>0</v>
      </c>
      <c r="D69" s="54">
        <f>Activité!D65*Caractéristiques!$C$37</f>
        <v>0</v>
      </c>
      <c r="E69" s="54">
        <f>Activité!E65*Caractéristiques!$C$37</f>
        <v>0</v>
      </c>
      <c r="F69" s="54">
        <f>Activité!F65*Caractéristiques!$C$37</f>
        <v>0</v>
      </c>
      <c r="G69" s="54">
        <f>Activité!G65*Caractéristiques!$C$37</f>
        <v>0</v>
      </c>
      <c r="H69" s="54">
        <f>Activité!H65*Caractéristiques!$C$37</f>
        <v>0</v>
      </c>
      <c r="I69" s="54">
        <f>Activité!I65*Caractéristiques!$C$37</f>
        <v>0</v>
      </c>
      <c r="J69" s="54">
        <f>Activité!J65*Caractéristiques!$C$37</f>
        <v>0</v>
      </c>
      <c r="K69" s="54">
        <f>Activité!K65*Caractéristiques!$C$37</f>
        <v>0</v>
      </c>
      <c r="L69" s="54">
        <f>Activité!L65*Caractéristiques!$C$37</f>
        <v>0</v>
      </c>
      <c r="M69" s="54">
        <f>Activité!M65*Caractéristiques!$C$37</f>
        <v>0</v>
      </c>
      <c r="N69" s="54">
        <f>Activité!N65*Caractéristiques!$C$37</f>
        <v>0</v>
      </c>
      <c r="O69" s="54">
        <f>SUM(C69:N69)</f>
        <v>0</v>
      </c>
      <c r="P69" s="78"/>
      <c r="Q69" s="31"/>
      <c r="R69" s="39"/>
    </row>
    <row r="70" spans="1:18" x14ac:dyDescent="0.25">
      <c r="A70" s="38"/>
      <c r="B70" s="33" t="s">
        <v>455</v>
      </c>
      <c r="C70" s="54">
        <f>C627</f>
        <v>0</v>
      </c>
      <c r="D70" s="54">
        <f t="shared" ref="D70:N70" si="11">D627</f>
        <v>0</v>
      </c>
      <c r="E70" s="54">
        <f t="shared" si="11"/>
        <v>0</v>
      </c>
      <c r="F70" s="54">
        <f t="shared" si="11"/>
        <v>0</v>
      </c>
      <c r="G70" s="54">
        <f t="shared" si="11"/>
        <v>0</v>
      </c>
      <c r="H70" s="54">
        <f t="shared" si="11"/>
        <v>0</v>
      </c>
      <c r="I70" s="54">
        <f t="shared" si="11"/>
        <v>0</v>
      </c>
      <c r="J70" s="54">
        <f t="shared" si="11"/>
        <v>0</v>
      </c>
      <c r="K70" s="54">
        <f t="shared" si="11"/>
        <v>0</v>
      </c>
      <c r="L70" s="54">
        <f t="shared" si="11"/>
        <v>0</v>
      </c>
      <c r="M70" s="54">
        <f t="shared" si="11"/>
        <v>0</v>
      </c>
      <c r="N70" s="54">
        <f t="shared" si="11"/>
        <v>0</v>
      </c>
      <c r="O70" s="54">
        <f>SUM(C70:N70)</f>
        <v>0</v>
      </c>
      <c r="P70" s="78"/>
      <c r="Q70" s="31"/>
      <c r="R70" s="39"/>
    </row>
    <row r="71" spans="1:18" x14ac:dyDescent="0.25">
      <c r="A71" s="38"/>
      <c r="B71" s="3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78"/>
      <c r="Q71" s="31"/>
      <c r="R71" s="39"/>
    </row>
    <row r="72" spans="1:18" x14ac:dyDescent="0.25">
      <c r="A72" s="38"/>
      <c r="B72" s="33" t="s">
        <v>197</v>
      </c>
      <c r="C72" s="54">
        <f>Activité!C68*Caractéristiques!$C$38</f>
        <v>0</v>
      </c>
      <c r="D72" s="54">
        <f>Activité!D68*Caractéristiques!$C$38</f>
        <v>0</v>
      </c>
      <c r="E72" s="54">
        <f>Activité!E68*Caractéristiques!$C$38</f>
        <v>0</v>
      </c>
      <c r="F72" s="54">
        <f>Activité!F68*Caractéristiques!$C$38</f>
        <v>0</v>
      </c>
      <c r="G72" s="54">
        <f>Activité!G68*Caractéristiques!$C$38</f>
        <v>0</v>
      </c>
      <c r="H72" s="54">
        <f>Activité!H68*Caractéristiques!$C$38</f>
        <v>0</v>
      </c>
      <c r="I72" s="54">
        <f>Activité!I68*Caractéristiques!$C$38</f>
        <v>0</v>
      </c>
      <c r="J72" s="54">
        <f>Activité!J68*Caractéristiques!$C$38</f>
        <v>0</v>
      </c>
      <c r="K72" s="54">
        <f>Activité!K68*Caractéristiques!$C$38</f>
        <v>0</v>
      </c>
      <c r="L72" s="54">
        <f>Activité!L68*Caractéristiques!$C$38</f>
        <v>0</v>
      </c>
      <c r="M72" s="54">
        <f>Activité!M68*Caractéristiques!$C$38</f>
        <v>0</v>
      </c>
      <c r="N72" s="54">
        <f>Activité!N68*Caractéristiques!$C$38</f>
        <v>0</v>
      </c>
      <c r="O72" s="54">
        <f>Activité!O68*Caractéristiques!$C$38</f>
        <v>0</v>
      </c>
      <c r="P72" s="78"/>
      <c r="Q72" s="31"/>
      <c r="R72" s="39"/>
    </row>
    <row r="73" spans="1:18" x14ac:dyDescent="0.25">
      <c r="A73" s="38"/>
      <c r="B73" s="33" t="s">
        <v>196</v>
      </c>
      <c r="C73" s="54">
        <f>'Frais généraux'!$G$79/12</f>
        <v>0</v>
      </c>
      <c r="D73" s="54">
        <f>'Frais généraux'!$G$79/12</f>
        <v>0</v>
      </c>
      <c r="E73" s="54">
        <f>'Frais généraux'!$G$79/12</f>
        <v>0</v>
      </c>
      <c r="F73" s="54">
        <f>'Frais généraux'!$G$79/12</f>
        <v>0</v>
      </c>
      <c r="G73" s="54">
        <f>'Frais généraux'!$G$79/12</f>
        <v>0</v>
      </c>
      <c r="H73" s="54">
        <f>'Frais généraux'!$G$79/12</f>
        <v>0</v>
      </c>
      <c r="I73" s="54">
        <f>'Frais généraux'!$G$79/12</f>
        <v>0</v>
      </c>
      <c r="J73" s="54">
        <f>'Frais généraux'!$G$79/12</f>
        <v>0</v>
      </c>
      <c r="K73" s="54">
        <f>'Frais généraux'!$G$79/12</f>
        <v>0</v>
      </c>
      <c r="L73" s="54">
        <f>'Frais généraux'!$G$79/12</f>
        <v>0</v>
      </c>
      <c r="M73" s="54">
        <f>'Frais généraux'!$G$79/12</f>
        <v>0</v>
      </c>
      <c r="N73" s="54">
        <f>'Frais généraux'!$G$79/12</f>
        <v>0</v>
      </c>
      <c r="O73" s="54">
        <f>SUM(C73:N73)</f>
        <v>0</v>
      </c>
      <c r="P73" s="78"/>
      <c r="Q73" s="31"/>
      <c r="R73" s="39"/>
    </row>
    <row r="74" spans="1:18" x14ac:dyDescent="0.25">
      <c r="A74" s="38"/>
      <c r="B74" s="33" t="s">
        <v>379</v>
      </c>
      <c r="C74" s="54">
        <f>H529</f>
        <v>0</v>
      </c>
      <c r="D74" s="54">
        <f t="shared" ref="D74:N74" si="12">I529</f>
        <v>0</v>
      </c>
      <c r="E74" s="54">
        <f t="shared" si="12"/>
        <v>0</v>
      </c>
      <c r="F74" s="54">
        <f t="shared" si="12"/>
        <v>0</v>
      </c>
      <c r="G74" s="54">
        <f t="shared" si="12"/>
        <v>0</v>
      </c>
      <c r="H74" s="54">
        <f t="shared" si="12"/>
        <v>0</v>
      </c>
      <c r="I74" s="54">
        <f t="shared" si="12"/>
        <v>0</v>
      </c>
      <c r="J74" s="54">
        <f t="shared" si="12"/>
        <v>0</v>
      </c>
      <c r="K74" s="54">
        <f t="shared" si="12"/>
        <v>0</v>
      </c>
      <c r="L74" s="54">
        <f t="shared" si="12"/>
        <v>0</v>
      </c>
      <c r="M74" s="54">
        <f t="shared" si="12"/>
        <v>0</v>
      </c>
      <c r="N74" s="54">
        <f t="shared" si="12"/>
        <v>0</v>
      </c>
      <c r="O74" s="54">
        <f>SUM(C74:N74)</f>
        <v>0</v>
      </c>
      <c r="P74" s="78"/>
      <c r="Q74" s="31"/>
      <c r="R74" s="39"/>
    </row>
    <row r="75" spans="1:18" x14ac:dyDescent="0.25">
      <c r="A75" s="38"/>
      <c r="B75" s="33" t="s">
        <v>440</v>
      </c>
      <c r="C75" s="54">
        <f>C601</f>
        <v>0</v>
      </c>
      <c r="D75" s="54">
        <f t="shared" ref="D75:N75" si="13">D601</f>
        <v>0</v>
      </c>
      <c r="E75" s="54">
        <f t="shared" si="13"/>
        <v>0</v>
      </c>
      <c r="F75" s="54">
        <f t="shared" si="13"/>
        <v>0</v>
      </c>
      <c r="G75" s="54">
        <f t="shared" si="13"/>
        <v>0</v>
      </c>
      <c r="H75" s="54">
        <f t="shared" si="13"/>
        <v>0</v>
      </c>
      <c r="I75" s="54">
        <f t="shared" si="13"/>
        <v>0</v>
      </c>
      <c r="J75" s="54">
        <f t="shared" si="13"/>
        <v>0</v>
      </c>
      <c r="K75" s="54">
        <f t="shared" si="13"/>
        <v>0</v>
      </c>
      <c r="L75" s="54">
        <f t="shared" si="13"/>
        <v>0</v>
      </c>
      <c r="M75" s="54">
        <f t="shared" si="13"/>
        <v>0</v>
      </c>
      <c r="N75" s="54">
        <f t="shared" si="13"/>
        <v>0</v>
      </c>
      <c r="O75" s="54">
        <f>SUM(C75:N75)</f>
        <v>0</v>
      </c>
      <c r="P75" s="78"/>
      <c r="Q75" s="31"/>
      <c r="R75" s="39"/>
    </row>
    <row r="76" spans="1:18" x14ac:dyDescent="0.25">
      <c r="A76" s="38"/>
      <c r="B76" s="1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78"/>
      <c r="Q76" s="31"/>
      <c r="R76" s="39"/>
    </row>
    <row r="77" spans="1:18" x14ac:dyDescent="0.25">
      <c r="A77" s="38"/>
      <c r="B77" s="33" t="s">
        <v>198</v>
      </c>
      <c r="C77" s="54">
        <f>+C69+C70-C72-C73-C74-C75</f>
        <v>0</v>
      </c>
      <c r="D77" s="54">
        <f t="shared" ref="D77:N77" si="14">+D69+D70-D72-D73-D74-D75</f>
        <v>0</v>
      </c>
      <c r="E77" s="54">
        <f t="shared" si="14"/>
        <v>0</v>
      </c>
      <c r="F77" s="54">
        <f t="shared" si="14"/>
        <v>0</v>
      </c>
      <c r="G77" s="54">
        <f t="shared" si="14"/>
        <v>0</v>
      </c>
      <c r="H77" s="54">
        <f t="shared" si="14"/>
        <v>0</v>
      </c>
      <c r="I77" s="54">
        <f t="shared" si="14"/>
        <v>0</v>
      </c>
      <c r="J77" s="54">
        <f t="shared" si="14"/>
        <v>0</v>
      </c>
      <c r="K77" s="54">
        <f t="shared" si="14"/>
        <v>0</v>
      </c>
      <c r="L77" s="54">
        <f t="shared" si="14"/>
        <v>0</v>
      </c>
      <c r="M77" s="54">
        <f t="shared" si="14"/>
        <v>0</v>
      </c>
      <c r="N77" s="54">
        <f t="shared" si="14"/>
        <v>0</v>
      </c>
      <c r="O77" s="54">
        <f>SUM(C77:N77)</f>
        <v>0</v>
      </c>
      <c r="P77" s="78"/>
      <c r="Q77" s="31"/>
      <c r="R77" s="39"/>
    </row>
    <row r="78" spans="1:18" x14ac:dyDescent="0.25">
      <c r="A78" s="38"/>
      <c r="B78" s="3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78"/>
      <c r="Q78" s="31"/>
      <c r="R78" s="39"/>
    </row>
    <row r="79" spans="1:18" x14ac:dyDescent="0.25">
      <c r="A79" s="38"/>
      <c r="B79" s="33" t="s">
        <v>201</v>
      </c>
      <c r="C79" s="54">
        <f>N58</f>
        <v>0</v>
      </c>
      <c r="D79" s="54">
        <f>C77</f>
        <v>0</v>
      </c>
      <c r="E79" s="54">
        <f t="shared" ref="E79:N79" si="15">D77</f>
        <v>0</v>
      </c>
      <c r="F79" s="54">
        <f t="shared" si="15"/>
        <v>0</v>
      </c>
      <c r="G79" s="54">
        <f t="shared" si="15"/>
        <v>0</v>
      </c>
      <c r="H79" s="54">
        <f t="shared" si="15"/>
        <v>0</v>
      </c>
      <c r="I79" s="54">
        <f t="shared" si="15"/>
        <v>0</v>
      </c>
      <c r="J79" s="54">
        <f t="shared" si="15"/>
        <v>0</v>
      </c>
      <c r="K79" s="54">
        <f t="shared" si="15"/>
        <v>0</v>
      </c>
      <c r="L79" s="54">
        <f t="shared" si="15"/>
        <v>0</v>
      </c>
      <c r="M79" s="54">
        <f t="shared" si="15"/>
        <v>0</v>
      </c>
      <c r="N79" s="54">
        <f t="shared" si="15"/>
        <v>0</v>
      </c>
      <c r="O79" s="54">
        <f>SUM(C79:N79)</f>
        <v>0</v>
      </c>
      <c r="P79" s="78">
        <f>N77</f>
        <v>0</v>
      </c>
      <c r="Q79" s="31"/>
      <c r="R79" s="39"/>
    </row>
    <row r="80" spans="1:18" x14ac:dyDescent="0.25">
      <c r="A80" s="38"/>
      <c r="B80" s="33" t="s">
        <v>202</v>
      </c>
      <c r="C80" s="54">
        <f>L58+M58+N58</f>
        <v>0</v>
      </c>
      <c r="D80" s="54"/>
      <c r="E80" s="54"/>
      <c r="F80" s="54">
        <f>C77+D77+E77</f>
        <v>0</v>
      </c>
      <c r="G80" s="54"/>
      <c r="H80" s="54"/>
      <c r="I80" s="54">
        <f>G77+H77+F77</f>
        <v>0</v>
      </c>
      <c r="K80" s="54"/>
      <c r="L80" s="54">
        <f>J77+K77+I77</f>
        <v>0</v>
      </c>
      <c r="M80" s="54"/>
      <c r="N80" s="54"/>
      <c r="O80" s="54">
        <f>SUM(C80:N80)</f>
        <v>0</v>
      </c>
      <c r="P80" s="78">
        <f>L77+M77+N77</f>
        <v>0</v>
      </c>
      <c r="Q80" s="31"/>
      <c r="R80" s="39"/>
    </row>
    <row r="81" spans="1:18" x14ac:dyDescent="0.25">
      <c r="A81" s="38"/>
      <c r="B81" s="33" t="s">
        <v>203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>
        <f>SUM(C81:N81)</f>
        <v>0</v>
      </c>
      <c r="P81" s="78">
        <f>SUM(C77:N77)</f>
        <v>0</v>
      </c>
      <c r="Q81" s="31"/>
      <c r="R81" s="39"/>
    </row>
    <row r="82" spans="1:18" x14ac:dyDescent="0.25">
      <c r="A82" s="38"/>
      <c r="B82" s="3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78"/>
      <c r="Q82" s="31"/>
      <c r="R82" s="39"/>
    </row>
    <row r="83" spans="1:18" x14ac:dyDescent="0.25">
      <c r="A83" s="38"/>
      <c r="B83" s="175" t="s">
        <v>304</v>
      </c>
      <c r="C83" s="176">
        <f>IF(Caractéristiques!$C$36="Mensuel",'Calcul prévi'!C79,IF(Caractéristiques!$C$36="Trimestriel",'Calcul prévi'!C80,IF(Caractéristiques!$C$36="Annuel",'Calcul prévi'!C81,IF(Caractéristiques!$C$36="Exonéré",0,erreur))))</f>
        <v>0</v>
      </c>
      <c r="D83" s="176">
        <f>IF(Caractéristiques!$C$36="Mensuel",'Calcul prévi'!D79,IF(Caractéristiques!$C$36="Trimestriel",'Calcul prévi'!D80,IF(Caractéristiques!$C$36="Annuel",'Calcul prévi'!D81,IF(Caractéristiques!$C$36="Exonéré",0,erreur))))</f>
        <v>0</v>
      </c>
      <c r="E83" s="176">
        <f>IF(Caractéristiques!$C$36="Mensuel",'Calcul prévi'!E79,IF(Caractéristiques!$C$36="Trimestriel",'Calcul prévi'!E80,IF(Caractéristiques!$C$36="Annuel",'Calcul prévi'!E81,IF(Caractéristiques!$C$36="Exonéré",0,erreur))))</f>
        <v>0</v>
      </c>
      <c r="F83" s="176">
        <f>IF(Caractéristiques!$C$36="Mensuel",'Calcul prévi'!F79,IF(Caractéristiques!$C$36="Trimestriel",'Calcul prévi'!F80,IF(Caractéristiques!$C$36="Annuel",'Calcul prévi'!F81,IF(Caractéristiques!$C$36="Exonéré",0,erreur))))</f>
        <v>0</v>
      </c>
      <c r="G83" s="176">
        <f>IF(Caractéristiques!$C$36="Mensuel",'Calcul prévi'!G79,IF(Caractéristiques!$C$36="Trimestriel",'Calcul prévi'!G80,IF(Caractéristiques!$C$36="Annuel",'Calcul prévi'!G81,IF(Caractéristiques!$C$36="Exonéré",0,erreur))))</f>
        <v>0</v>
      </c>
      <c r="H83" s="176">
        <f>IF(Caractéristiques!$C$36="Mensuel",'Calcul prévi'!H79,IF(Caractéristiques!$C$36="Trimestriel",'Calcul prévi'!H80,IF(Caractéristiques!$C$36="Annuel",'Calcul prévi'!H81,IF(Caractéristiques!$C$36="Exonéré",0,erreur))))</f>
        <v>0</v>
      </c>
      <c r="I83" s="176">
        <f>IF(Caractéristiques!$C$36="Mensuel",'Calcul prévi'!I79,IF(Caractéristiques!$C$36="Trimestriel",'Calcul prévi'!I80,IF(Caractéristiques!$C$36="Annuel",'Calcul prévi'!I81,IF(Caractéristiques!$C$36="Exonéré",0,erreur))))</f>
        <v>0</v>
      </c>
      <c r="J83" s="176">
        <f>IF(Caractéristiques!$C$36="Mensuel",'Calcul prévi'!J79,IF(Caractéristiques!$C$36="Trimestriel",'Calcul prévi'!J80,IF(Caractéristiques!$C$36="Annuel",'Calcul prévi'!J81,IF(Caractéristiques!$C$36="Exonéré",0,erreur))))</f>
        <v>0</v>
      </c>
      <c r="K83" s="176">
        <f>IF(Caractéristiques!$C$36="Mensuel",'Calcul prévi'!K79,IF(Caractéristiques!$C$36="Trimestriel",'Calcul prévi'!K80,IF(Caractéristiques!$C$36="Annuel",'Calcul prévi'!K81,IF(Caractéristiques!$C$36="Exonéré",0,erreur))))</f>
        <v>0</v>
      </c>
      <c r="L83" s="176">
        <f>IF(Caractéristiques!$C$36="Mensuel",'Calcul prévi'!L79,IF(Caractéristiques!$C$36="Trimestriel",'Calcul prévi'!L80,IF(Caractéristiques!$C$36="Annuel",'Calcul prévi'!L81,IF(Caractéristiques!$C$36="Exonéré",0,erreur))))</f>
        <v>0</v>
      </c>
      <c r="M83" s="176">
        <f>IF(Caractéristiques!$C$36="Mensuel",'Calcul prévi'!M79,IF(Caractéristiques!$C$36="Trimestriel",'Calcul prévi'!M80,IF(Caractéristiques!$C$36="Annuel",'Calcul prévi'!M81,IF(Caractéristiques!$C$36="Exonéré",0,erreur))))</f>
        <v>0</v>
      </c>
      <c r="N83" s="176">
        <f>IF(Caractéristiques!$C$36="Mensuel",'Calcul prévi'!N79,IF(Caractéristiques!$C$36="Trimestriel",'Calcul prévi'!N80,IF(Caractéristiques!$C$36="Annuel",'Calcul prévi'!N81,IF(Caractéristiques!$C$36="Exonéré",0,erreur))))</f>
        <v>0</v>
      </c>
      <c r="O83" s="176">
        <f>IF(Caractéristiques!$C$36="Mensuel",'Calcul prévi'!O79,IF(Caractéristiques!$C$36="Trimestriel",'Calcul prévi'!O80,IF(Caractéristiques!$C$36="Annuel",'Calcul prévi'!O81,IF(Caractéristiques!$C$36="Exonéré",0,erreur))))</f>
        <v>0</v>
      </c>
      <c r="P83" s="180"/>
      <c r="Q83" s="31"/>
      <c r="R83" s="39"/>
    </row>
    <row r="84" spans="1:18" x14ac:dyDescent="0.25">
      <c r="A84" s="38"/>
      <c r="B84" s="175" t="s">
        <v>305</v>
      </c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>
        <f>IF(Caractéristiques!$C$36="Mensuel",'Calcul prévi'!P79,IF(Caractéristiques!$C$36="Trimestriel",'Calcul prévi'!P80,IF(Caractéristiques!$C$36="Annuel",'Calcul prévi'!P81,IF(Caractéristiques!$C$36="Exonéré",0,erreur))))</f>
        <v>0</v>
      </c>
      <c r="Q84" s="31"/>
      <c r="R84" s="39"/>
    </row>
    <row r="85" spans="1:18" x14ac:dyDescent="0.25">
      <c r="A85" s="38"/>
      <c r="B85" s="33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78"/>
      <c r="Q85" s="31"/>
      <c r="R85" s="39"/>
    </row>
    <row r="86" spans="1:18" x14ac:dyDescent="0.25">
      <c r="A86" s="38"/>
      <c r="B86" s="29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9"/>
    </row>
    <row r="87" spans="1:18" ht="18.75" x14ac:dyDescent="0.3">
      <c r="A87" s="38"/>
      <c r="B87" s="81" t="s">
        <v>35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9"/>
    </row>
    <row r="88" spans="1:18" x14ac:dyDescent="0.25">
      <c r="A88" s="38"/>
      <c r="B88" s="29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9"/>
    </row>
    <row r="89" spans="1:18" ht="18.75" x14ac:dyDescent="0.25">
      <c r="A89" s="38"/>
      <c r="B89" s="45" t="s">
        <v>146</v>
      </c>
      <c r="C89" s="46" t="s">
        <v>149</v>
      </c>
      <c r="D89" s="46" t="s">
        <v>150</v>
      </c>
      <c r="E89" s="46" t="s">
        <v>151</v>
      </c>
      <c r="F89" s="46" t="s">
        <v>152</v>
      </c>
      <c r="G89" s="46" t="s">
        <v>153</v>
      </c>
      <c r="H89" s="46" t="s">
        <v>154</v>
      </c>
      <c r="I89" s="46" t="s">
        <v>155</v>
      </c>
      <c r="J89" s="46" t="s">
        <v>156</v>
      </c>
      <c r="K89" s="46" t="s">
        <v>157</v>
      </c>
      <c r="L89" s="46" t="s">
        <v>158</v>
      </c>
      <c r="M89" s="46" t="s">
        <v>159</v>
      </c>
      <c r="N89" s="46" t="s">
        <v>160</v>
      </c>
      <c r="O89" s="46" t="s">
        <v>240</v>
      </c>
      <c r="P89" s="50" t="s">
        <v>207</v>
      </c>
      <c r="Q89" s="31"/>
      <c r="R89" s="39"/>
    </row>
    <row r="90" spans="1:18" x14ac:dyDescent="0.25">
      <c r="A90" s="38"/>
      <c r="B90" s="33" t="s">
        <v>205</v>
      </c>
      <c r="C90" s="54">
        <f>Activité!C29*(1+Caractéristiques!$C$37)</f>
        <v>0</v>
      </c>
      <c r="D90" s="54">
        <f>Activité!D29*(1+Caractéristiques!$C$37)</f>
        <v>0</v>
      </c>
      <c r="E90" s="54">
        <f>Activité!E29*(1+Caractéristiques!$C$37)</f>
        <v>0</v>
      </c>
      <c r="F90" s="54">
        <f>Activité!F29*(1+Caractéristiques!$C$37)</f>
        <v>0</v>
      </c>
      <c r="G90" s="54">
        <f>Activité!G29*(1+Caractéristiques!$C$37)</f>
        <v>0</v>
      </c>
      <c r="H90" s="54">
        <f>Activité!H29*(1+Caractéristiques!$C$37)</f>
        <v>0</v>
      </c>
      <c r="I90" s="54">
        <f>Activité!I29*(1+Caractéristiques!$C$37)</f>
        <v>0</v>
      </c>
      <c r="J90" s="54">
        <f>Activité!J29*(1+Caractéristiques!$C$37)</f>
        <v>0</v>
      </c>
      <c r="K90" s="54">
        <f>Activité!K29*(1+Caractéristiques!$C$37)</f>
        <v>0</v>
      </c>
      <c r="L90" s="54">
        <f>Activité!L29*(1+Caractéristiques!$C$37)</f>
        <v>0</v>
      </c>
      <c r="M90" s="54">
        <f>Activité!M29*(1+Caractéristiques!$C$37)</f>
        <v>0</v>
      </c>
      <c r="N90" s="54">
        <f>Activité!N29*(1+Caractéristiques!$C$37)</f>
        <v>0</v>
      </c>
      <c r="O90" s="54">
        <f>SUM(C90:N90)</f>
        <v>0</v>
      </c>
      <c r="P90" s="78"/>
      <c r="Q90" s="31"/>
      <c r="R90" s="39"/>
    </row>
    <row r="91" spans="1:18" x14ac:dyDescent="0.25">
      <c r="A91" s="38"/>
      <c r="B91" s="33" t="s">
        <v>206</v>
      </c>
      <c r="C91" s="54">
        <f>IF(Caractéristiques!$C$45=0,C90,IF(Caractéristiques!$C$45=30,0,IF(Caractéristiques!$C$45=60,0,IF(Caractéristiques!$C$45=90,0,"erreur"))))</f>
        <v>0</v>
      </c>
      <c r="D91" s="54">
        <f>IF(Caractéristiques!$C$45=0,'Calcul prévi'!D90,IF(Caractéristiques!$C$45=30,'Calcul prévi'!C90,IF(Caractéristiques!$C$45=60,0,IF(Caractéristiques!$C$45=90,0,"erreur"))))</f>
        <v>0</v>
      </c>
      <c r="E91" s="54">
        <f>IF(Caractéristiques!C45=0,E90,IF(Caractéristiques!C45=30,D90,IF(Caractéristiques!C45=60,C90,IF(Caractéristiques!C45=90,0,"erreur"))))</f>
        <v>0</v>
      </c>
      <c r="F91" s="54">
        <f>IF(Caractéristiques!$C$45=0,F90,IF(Caractéristiques!$C$45=30,E90,IF(Caractéristiques!$C$45=60,D90,IF(Caractéristiques!$C$45=90,C90,"erreur"))))</f>
        <v>0</v>
      </c>
      <c r="G91" s="54">
        <f>IF(Caractéristiques!$C$45=0,G90,IF(Caractéristiques!$C$45=30,F90,IF(Caractéristiques!$C$45=60,E90,IF(Caractéristiques!$C$45=90,D90,"erreur"))))</f>
        <v>0</v>
      </c>
      <c r="H91" s="54">
        <f>IF(Caractéristiques!$C$45=0,H90,IF(Caractéristiques!$C$45=30,G90,IF(Caractéristiques!$C$45=60,F90,IF(Caractéristiques!$C$45=90,E90,"erreur"))))</f>
        <v>0</v>
      </c>
      <c r="I91" s="54">
        <f>IF(Caractéristiques!$C$45=0,I90,IF(Caractéristiques!$C$45=30,H90,IF(Caractéristiques!$C$45=60,G90,IF(Caractéristiques!$C$45=90,F90,"erreur"))))</f>
        <v>0</v>
      </c>
      <c r="J91" s="54">
        <f>IF(Caractéristiques!$C$45=0,J90,IF(Caractéristiques!$C$45=30,I90,IF(Caractéristiques!$C$45=60,H90,IF(Caractéristiques!$C$45=90,G90,"erreur"))))</f>
        <v>0</v>
      </c>
      <c r="K91" s="54">
        <f>IF(Caractéristiques!$C$45=0,K90,IF(Caractéristiques!$C$45=30,J90,IF(Caractéristiques!$C$45=60,I90,IF(Caractéristiques!$C$45=90,H90,"erreur"))))</f>
        <v>0</v>
      </c>
      <c r="L91" s="54">
        <f>IF(Caractéristiques!$C$45=0,L90,IF(Caractéristiques!$C$45=30,K90,IF(Caractéristiques!$C$45=60,J90,IF(Caractéristiques!$C$45=90,I90,"erreur"))))</f>
        <v>0</v>
      </c>
      <c r="M91" s="54">
        <f>IF(Caractéristiques!$C$45=0,M90,IF(Caractéristiques!$C$45=30,L90,IF(Caractéristiques!$C$45=60,K90,IF(Caractéristiques!$C$45=90,J90,"erreur"))))</f>
        <v>0</v>
      </c>
      <c r="N91" s="54">
        <f>IF(Caractéristiques!$C$45=0,N90,IF(Caractéristiques!$C$45=30,M90,IF(Caractéristiques!$C$45=60,L90,IF(Caractéristiques!$C$45=90,K90,"erreur"))))</f>
        <v>0</v>
      </c>
      <c r="O91" s="54">
        <f>SUM(C91:N91)</f>
        <v>0</v>
      </c>
      <c r="P91" s="78">
        <f>IF(Caractéristiques!$C$45=0,0,IF(Caractéristiques!$C$45=30,N90,IF(Caractéristiques!$C$45=60,(N90+M90),IF(Caractéristiques!$C$45=90,(N90+M90+L90),"erreur"))))</f>
        <v>0</v>
      </c>
      <c r="Q91" s="31"/>
      <c r="R91" s="39"/>
    </row>
    <row r="92" spans="1:18" x14ac:dyDescent="0.25">
      <c r="A92" s="38"/>
      <c r="B92" s="29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9"/>
    </row>
    <row r="93" spans="1:18" ht="18.75" x14ac:dyDescent="0.25">
      <c r="A93" s="38"/>
      <c r="B93" s="45" t="s">
        <v>147</v>
      </c>
      <c r="C93" s="46" t="s">
        <v>149</v>
      </c>
      <c r="D93" s="46" t="s">
        <v>150</v>
      </c>
      <c r="E93" s="46" t="s">
        <v>151</v>
      </c>
      <c r="F93" s="46" t="s">
        <v>152</v>
      </c>
      <c r="G93" s="46" t="s">
        <v>153</v>
      </c>
      <c r="H93" s="46" t="s">
        <v>154</v>
      </c>
      <c r="I93" s="46" t="s">
        <v>155</v>
      </c>
      <c r="J93" s="46" t="s">
        <v>156</v>
      </c>
      <c r="K93" s="46" t="s">
        <v>157</v>
      </c>
      <c r="L93" s="46" t="s">
        <v>158</v>
      </c>
      <c r="M93" s="46" t="s">
        <v>159</v>
      </c>
      <c r="N93" s="46" t="s">
        <v>160</v>
      </c>
      <c r="O93" s="46" t="s">
        <v>240</v>
      </c>
      <c r="P93" s="50" t="s">
        <v>207</v>
      </c>
      <c r="Q93" s="31"/>
      <c r="R93" s="39"/>
    </row>
    <row r="94" spans="1:18" x14ac:dyDescent="0.25">
      <c r="A94" s="38"/>
      <c r="B94" s="33" t="s">
        <v>205</v>
      </c>
      <c r="C94" s="54">
        <f>Activité!C47*(1+Caractéristiques!$C$37)</f>
        <v>0</v>
      </c>
      <c r="D94" s="54">
        <f>Activité!D47*(1+Caractéristiques!$C$37)</f>
        <v>0</v>
      </c>
      <c r="E94" s="54">
        <f>Activité!E47*(1+Caractéristiques!$C$37)</f>
        <v>0</v>
      </c>
      <c r="F94" s="54">
        <f>Activité!F47*(1+Caractéristiques!$C$37)</f>
        <v>0</v>
      </c>
      <c r="G94" s="54">
        <f>Activité!G47*(1+Caractéristiques!$C$37)</f>
        <v>0</v>
      </c>
      <c r="H94" s="54">
        <f>Activité!H47*(1+Caractéristiques!$C$37)</f>
        <v>0</v>
      </c>
      <c r="I94" s="54">
        <f>Activité!I47*(1+Caractéristiques!$C$37)</f>
        <v>0</v>
      </c>
      <c r="J94" s="54">
        <f>Activité!J47*(1+Caractéristiques!$C$37)</f>
        <v>0</v>
      </c>
      <c r="K94" s="54">
        <f>Activité!K47*(1+Caractéristiques!$C$37)</f>
        <v>0</v>
      </c>
      <c r="L94" s="54">
        <f>Activité!L47*(1+Caractéristiques!$C$37)</f>
        <v>0</v>
      </c>
      <c r="M94" s="54">
        <f>Activité!M47*(1+Caractéristiques!$C$37)</f>
        <v>0</v>
      </c>
      <c r="N94" s="54">
        <f>Activité!N47*(1+Caractéristiques!$C$37)</f>
        <v>0</v>
      </c>
      <c r="O94" s="54">
        <f>SUM(C94:N94)</f>
        <v>0</v>
      </c>
      <c r="P94" s="78"/>
      <c r="Q94" s="31"/>
      <c r="R94" s="39"/>
    </row>
    <row r="95" spans="1:18" x14ac:dyDescent="0.25">
      <c r="A95" s="38"/>
      <c r="B95" s="33" t="s">
        <v>206</v>
      </c>
      <c r="C95" s="54">
        <f>IF(Caractéristiques!$C$45=0,C94,IF(Caractéristiques!$C$45=30,N90,IF(Caractéristiques!$C$45=60,M90,IF(Caractéristiques!$C$45=90,L90,"erreur"))))</f>
        <v>0</v>
      </c>
      <c r="D95" s="54">
        <f>IF(Caractéristiques!$C$45=0,D94,IF(Caractéristiques!$C$45=30,C94,IF(Caractéristiques!$C$45=60,N90,IF(Caractéristiques!$C$45=90,M90,"erreur"))))</f>
        <v>0</v>
      </c>
      <c r="E95" s="54">
        <f>IF(Caractéristiques!$C$45=0,E94,IF(Caractéristiques!$C$45=30,D94,IF(Caractéristiques!$C$45=60,C94,IF(Caractéristiques!$C$45=90,N90,"erreur"))))</f>
        <v>0</v>
      </c>
      <c r="F95" s="54">
        <f>IF(Caractéristiques!$C$45=0,F94,IF(Caractéristiques!$C$45=30,E94,IF(Caractéristiques!$C$45=60,D94,IF(Caractéristiques!$C$45=90,C94,"erreur"))))</f>
        <v>0</v>
      </c>
      <c r="G95" s="54">
        <f>IF(Caractéristiques!$C$45=0,G94,IF(Caractéristiques!$C$45=30,F94,IF(Caractéristiques!$C$45=60,E94,IF(Caractéristiques!$C$45=90,D94,"erreur"))))</f>
        <v>0</v>
      </c>
      <c r="H95" s="54">
        <f>IF(Caractéristiques!$C$45=0,H94,IF(Caractéristiques!$C$45=30,G94,IF(Caractéristiques!$C$45=60,F94,IF(Caractéristiques!$C$45=90,E94,"erreur"))))</f>
        <v>0</v>
      </c>
      <c r="I95" s="54">
        <f>IF(Caractéristiques!$C$45=0,I94,IF(Caractéristiques!$C$45=30,H94,IF(Caractéristiques!$C$45=60,G94,IF(Caractéristiques!$C$45=90,F94,"erreur"))))</f>
        <v>0</v>
      </c>
      <c r="J95" s="54">
        <f>IF(Caractéristiques!$C$45=0,J94,IF(Caractéristiques!$C$45=30,I94,IF(Caractéristiques!$C$45=60,H94,IF(Caractéristiques!$C$45=90,G94,"erreur"))))</f>
        <v>0</v>
      </c>
      <c r="K95" s="54">
        <f>IF(Caractéristiques!$C$45=0,K94,IF(Caractéristiques!$C$45=30,J94,IF(Caractéristiques!$C$45=60,I94,IF(Caractéristiques!$C$45=90,H94,"erreur"))))</f>
        <v>0</v>
      </c>
      <c r="L95" s="54">
        <f>IF(Caractéristiques!$C$45=0,L94,IF(Caractéristiques!$C$45=30,K94,IF(Caractéristiques!$C$45=60,J94,IF(Caractéristiques!$C$45=90,I94,"erreur"))))</f>
        <v>0</v>
      </c>
      <c r="M95" s="54">
        <f>IF(Caractéristiques!$C$45=0,M94,IF(Caractéristiques!$C$45=30,L94,IF(Caractéristiques!$C$45=60,K94,IF(Caractéristiques!$C$45=90,J94,"erreur"))))</f>
        <v>0</v>
      </c>
      <c r="N95" s="54">
        <f>IF(Caractéristiques!$C$45=0,N94,IF(Caractéristiques!$C$45=30,M94,IF(Caractéristiques!$C$45=60,L94,IF(Caractéristiques!$C$45=90,K94,"erreur"))))</f>
        <v>0</v>
      </c>
      <c r="O95" s="54">
        <f>SUM(C95:N95)</f>
        <v>0</v>
      </c>
      <c r="P95" s="78">
        <f>IF(Caractéristiques!$C$45=0,0,IF(Caractéristiques!$C$45=30,N94,IF(Caractéristiques!$C$45=60,(N94+M94),IF(Caractéristiques!$C$45=90,(N94+M94+L94),"erreur"))))</f>
        <v>0</v>
      </c>
      <c r="Q95" s="31"/>
      <c r="R95" s="39"/>
    </row>
    <row r="96" spans="1:18" x14ac:dyDescent="0.25">
      <c r="A96" s="38"/>
      <c r="B96" s="29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9"/>
    </row>
    <row r="97" spans="1:18" ht="18.75" x14ac:dyDescent="0.25">
      <c r="A97" s="38"/>
      <c r="B97" s="45" t="s">
        <v>148</v>
      </c>
      <c r="C97" s="46" t="s">
        <v>149</v>
      </c>
      <c r="D97" s="46" t="s">
        <v>150</v>
      </c>
      <c r="E97" s="46" t="s">
        <v>151</v>
      </c>
      <c r="F97" s="46" t="s">
        <v>152</v>
      </c>
      <c r="G97" s="46" t="s">
        <v>153</v>
      </c>
      <c r="H97" s="46" t="s">
        <v>154</v>
      </c>
      <c r="I97" s="46" t="s">
        <v>155</v>
      </c>
      <c r="J97" s="46" t="s">
        <v>156</v>
      </c>
      <c r="K97" s="46" t="s">
        <v>157</v>
      </c>
      <c r="L97" s="46" t="s">
        <v>158</v>
      </c>
      <c r="M97" s="46" t="s">
        <v>159</v>
      </c>
      <c r="N97" s="46" t="s">
        <v>160</v>
      </c>
      <c r="O97" s="46" t="s">
        <v>240</v>
      </c>
      <c r="P97" s="50" t="s">
        <v>207</v>
      </c>
      <c r="Q97" s="31"/>
      <c r="R97" s="39"/>
    </row>
    <row r="98" spans="1:18" x14ac:dyDescent="0.25">
      <c r="A98" s="38"/>
      <c r="B98" s="33" t="s">
        <v>205</v>
      </c>
      <c r="C98" s="54">
        <f>Activité!C65*(1+Caractéristiques!$C$37)</f>
        <v>0</v>
      </c>
      <c r="D98" s="54">
        <f>Activité!D65*(1+Caractéristiques!$C$37)</f>
        <v>0</v>
      </c>
      <c r="E98" s="54">
        <f>Activité!E65*(1+Caractéristiques!$C$37)</f>
        <v>0</v>
      </c>
      <c r="F98" s="54">
        <f>Activité!F65*(1+Caractéristiques!$C$37)</f>
        <v>0</v>
      </c>
      <c r="G98" s="54">
        <f>Activité!G65*(1+Caractéristiques!$C$37)</f>
        <v>0</v>
      </c>
      <c r="H98" s="54">
        <f>Activité!H65*(1+Caractéristiques!$C$37)</f>
        <v>0</v>
      </c>
      <c r="I98" s="54">
        <f>Activité!I65*(1+Caractéristiques!$C$37)</f>
        <v>0</v>
      </c>
      <c r="J98" s="54">
        <f>Activité!J65*(1+Caractéristiques!$C$37)</f>
        <v>0</v>
      </c>
      <c r="K98" s="54">
        <f>Activité!K65*(1+Caractéristiques!$C$37)</f>
        <v>0</v>
      </c>
      <c r="L98" s="54">
        <f>Activité!L65*(1+Caractéristiques!$C$37)</f>
        <v>0</v>
      </c>
      <c r="M98" s="54">
        <f>Activité!M65*(1+Caractéristiques!$C$37)</f>
        <v>0</v>
      </c>
      <c r="N98" s="54">
        <f>Activité!N65*(1+Caractéristiques!$C$37)</f>
        <v>0</v>
      </c>
      <c r="O98" s="54">
        <f>SUM(C98:N98)</f>
        <v>0</v>
      </c>
      <c r="P98" s="78"/>
      <c r="Q98" s="31"/>
      <c r="R98" s="39"/>
    </row>
    <row r="99" spans="1:18" x14ac:dyDescent="0.25">
      <c r="A99" s="38"/>
      <c r="B99" s="33" t="s">
        <v>206</v>
      </c>
      <c r="C99" s="54">
        <f>IF(Caractéristiques!$C$45=0,C98,IF(Caractéristiques!$C$45=30,N94,IF(Caractéristiques!$C$45=60,M94,IF(Caractéristiques!$C$45=90,L94,"erreur"))))</f>
        <v>0</v>
      </c>
      <c r="D99" s="54">
        <f>IF(Caractéristiques!$C$45=0,D98,IF(Caractéristiques!$C$45=30,C98,IF(Caractéristiques!$C$45=60,N94,IF(Caractéristiques!$C$45=90,M94,"erreur"))))</f>
        <v>0</v>
      </c>
      <c r="E99" s="54">
        <f>IF(Caractéristiques!$C$45=0,E98,IF(Caractéristiques!$C$45=30,D98,IF(Caractéristiques!$C$45=60,C98,IF(Caractéristiques!$C$45=90,N94,"erreur"))))</f>
        <v>0</v>
      </c>
      <c r="F99" s="54">
        <f>IF(Caractéristiques!$C$45=0,F98,IF(Caractéristiques!$C$45=30,E98,IF(Caractéristiques!$C$45=60,D98,IF(Caractéristiques!$C$45=90,C98,"erreur"))))</f>
        <v>0</v>
      </c>
      <c r="G99" s="54">
        <f>IF(Caractéristiques!$C$45=0,G98,IF(Caractéristiques!$C$45=30,F98,IF(Caractéristiques!$C$45=60,E98,IF(Caractéristiques!$C$45=90,D98,"erreur"))))</f>
        <v>0</v>
      </c>
      <c r="H99" s="54">
        <f>IF(Caractéristiques!$C$45=0,H98,IF(Caractéristiques!$C$45=30,G98,IF(Caractéristiques!$C$45=60,F98,IF(Caractéristiques!$C$45=90,E98,"erreur"))))</f>
        <v>0</v>
      </c>
      <c r="I99" s="54">
        <f>IF(Caractéristiques!$C$45=0,I98,IF(Caractéristiques!$C$45=30,H98,IF(Caractéristiques!$C$45=60,G98,IF(Caractéristiques!$C$45=90,F98,"erreur"))))</f>
        <v>0</v>
      </c>
      <c r="J99" s="54">
        <f>IF(Caractéristiques!$C$45=0,J98,IF(Caractéristiques!$C$45=30,I98,IF(Caractéristiques!$C$45=60,H98,IF(Caractéristiques!$C$45=90,G98,"erreur"))))</f>
        <v>0</v>
      </c>
      <c r="K99" s="54">
        <f>IF(Caractéristiques!$C$45=0,K98,IF(Caractéristiques!$C$45=30,J98,IF(Caractéristiques!$C$45=60,I98,IF(Caractéristiques!$C$45=90,H98,"erreur"))))</f>
        <v>0</v>
      </c>
      <c r="L99" s="54">
        <f>IF(Caractéristiques!$C$45=0,L98,IF(Caractéristiques!$C$45=30,K98,IF(Caractéristiques!$C$45=60,J98,IF(Caractéristiques!$C$45=90,I98,"erreur"))))</f>
        <v>0</v>
      </c>
      <c r="M99" s="54">
        <f>IF(Caractéristiques!$C$45=0,M98,IF(Caractéristiques!$C$45=30,L98,IF(Caractéristiques!$C$45=60,K98,IF(Caractéristiques!$C$45=90,J98,"erreur"))))</f>
        <v>0</v>
      </c>
      <c r="N99" s="54">
        <f>IF(Caractéristiques!$C$45=0,N98,IF(Caractéristiques!$C$45=30,M98,IF(Caractéristiques!$C$45=60,L98,IF(Caractéristiques!$C$45=90,K98,"erreur"))))</f>
        <v>0</v>
      </c>
      <c r="O99" s="54">
        <f>SUM(C99:N99)</f>
        <v>0</v>
      </c>
      <c r="P99" s="78">
        <f>IF(Caractéristiques!$C$45=0,0,IF(Caractéristiques!$C$45=30,N98,IF(Caractéristiques!$C$45=60,(N98+M98),IF(Caractéristiques!$C$45=90,(N98+M98+L98),"erreur"))))</f>
        <v>0</v>
      </c>
      <c r="Q99" s="31"/>
      <c r="R99" s="39"/>
    </row>
    <row r="100" spans="1:18" x14ac:dyDescent="0.25">
      <c r="A100" s="38"/>
      <c r="B100" s="29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9"/>
    </row>
    <row r="101" spans="1:18" ht="18.75" x14ac:dyDescent="0.3">
      <c r="A101" s="38"/>
      <c r="B101" s="81" t="s">
        <v>231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9"/>
    </row>
    <row r="102" spans="1:18" x14ac:dyDescent="0.25">
      <c r="A102" s="38"/>
      <c r="B102" s="29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9"/>
    </row>
    <row r="103" spans="1:18" ht="18.75" x14ac:dyDescent="0.25">
      <c r="A103" s="38"/>
      <c r="B103" s="45" t="s">
        <v>146</v>
      </c>
      <c r="C103" s="46" t="s">
        <v>149</v>
      </c>
      <c r="D103" s="46" t="s">
        <v>150</v>
      </c>
      <c r="E103" s="46" t="s">
        <v>151</v>
      </c>
      <c r="F103" s="46" t="s">
        <v>152</v>
      </c>
      <c r="G103" s="46" t="s">
        <v>153</v>
      </c>
      <c r="H103" s="46" t="s">
        <v>154</v>
      </c>
      <c r="I103" s="46" t="s">
        <v>155</v>
      </c>
      <c r="J103" s="46" t="s">
        <v>156</v>
      </c>
      <c r="K103" s="46" t="s">
        <v>157</v>
      </c>
      <c r="L103" s="46" t="s">
        <v>158</v>
      </c>
      <c r="M103" s="46" t="s">
        <v>159</v>
      </c>
      <c r="N103" s="46" t="s">
        <v>160</v>
      </c>
      <c r="O103" s="46" t="s">
        <v>240</v>
      </c>
      <c r="P103" s="50" t="s">
        <v>204</v>
      </c>
      <c r="Q103" s="31"/>
      <c r="R103" s="39"/>
    </row>
    <row r="104" spans="1:18" x14ac:dyDescent="0.25">
      <c r="A104" s="38"/>
      <c r="B104" s="33" t="s">
        <v>212</v>
      </c>
      <c r="C104" s="54">
        <f>(Activité!C32+Activité!C30)*(1+Caractéristiques!$C$38)</f>
        <v>0</v>
      </c>
      <c r="D104" s="54">
        <f>Activité!D32*(1+Caractéristiques!$C$38)</f>
        <v>0</v>
      </c>
      <c r="E104" s="54">
        <f>Activité!E32*(1+Caractéristiques!$C$38)</f>
        <v>0</v>
      </c>
      <c r="F104" s="54">
        <f>Activité!F32*(1+Caractéristiques!$C$38)</f>
        <v>0</v>
      </c>
      <c r="G104" s="54">
        <f>Activité!G32*(1+Caractéristiques!$C$38)</f>
        <v>0</v>
      </c>
      <c r="H104" s="54">
        <f>Activité!H32*(1+Caractéristiques!$C$38)</f>
        <v>0</v>
      </c>
      <c r="I104" s="54">
        <f>Activité!I32*(1+Caractéristiques!$C$38)</f>
        <v>0</v>
      </c>
      <c r="J104" s="54">
        <f>Activité!J32*(1+Caractéristiques!$C$38)</f>
        <v>0</v>
      </c>
      <c r="K104" s="54">
        <f>Activité!K32*(1+Caractéristiques!$C$38)</f>
        <v>0</v>
      </c>
      <c r="L104" s="54">
        <f>Activité!L32*(1+Caractéristiques!$C$38)</f>
        <v>0</v>
      </c>
      <c r="M104" s="54">
        <f>Activité!M32*(1+Caractéristiques!$C$38)</f>
        <v>0</v>
      </c>
      <c r="N104" s="54">
        <f>Activité!N32*(1+Caractéristiques!$C$38)</f>
        <v>0</v>
      </c>
      <c r="O104" s="54">
        <f>SUM(C104:N104)</f>
        <v>0</v>
      </c>
      <c r="P104" s="78"/>
      <c r="Q104" s="31"/>
      <c r="R104" s="39"/>
    </row>
    <row r="105" spans="1:18" x14ac:dyDescent="0.25">
      <c r="A105" s="38"/>
      <c r="B105" s="33" t="s">
        <v>211</v>
      </c>
      <c r="C105" s="54">
        <f>IF(Caractéristiques!$C$44=0,C104,IF(Caractéristiques!$C$44=30,0,IF(Caractéristiques!$C$44=60,0,IF(Caractéristiques!$C$44=90,0,"erreur"))))</f>
        <v>0</v>
      </c>
      <c r="D105" s="54">
        <f>IF(Caractéristiques!$C$44=0,D104,IF(Caractéristiques!$C$44=30,C104,IF(Caractéristiques!$C$44=60,0,IF(Caractéristiques!$C$44=90,0,"erreur"))))</f>
        <v>0</v>
      </c>
      <c r="E105" s="54">
        <f>IF(Caractéristiques!$C$44=0,E104,IF(Caractéristiques!$C$44=30,D104,IF(Caractéristiques!$C$44=60,C104,IF(Caractéristiques!$C$44=90,0,"erreur"))))</f>
        <v>0</v>
      </c>
      <c r="F105" s="54">
        <f>IF(Caractéristiques!$C$44=0,F104,IF(Caractéristiques!$C$44=30,E104,IF(Caractéristiques!$C$44=60,D104,IF(Caractéristiques!$C$44=90,C104,"erreur"))))</f>
        <v>0</v>
      </c>
      <c r="G105" s="54">
        <f>IF(Caractéristiques!$C$44=0,G104,IF(Caractéristiques!$C$44=30,F104,IF(Caractéristiques!$C$44=60,E104,IF(Caractéristiques!$C$44=90,D104,"erreur"))))</f>
        <v>0</v>
      </c>
      <c r="H105" s="54">
        <f>IF(Caractéristiques!$C$44=0,H104,IF(Caractéristiques!$C$44=30,G104,IF(Caractéristiques!$C$44=60,F104,IF(Caractéristiques!$C$44=90,E104,"erreur"))))</f>
        <v>0</v>
      </c>
      <c r="I105" s="54">
        <f>IF(Caractéristiques!$C$44=0,I104,IF(Caractéristiques!$C$44=30,H104,IF(Caractéristiques!$C$44=60,G104,IF(Caractéristiques!$C$44=90,F104,"erreur"))))</f>
        <v>0</v>
      </c>
      <c r="J105" s="54">
        <f>IF(Caractéristiques!$C$44=0,J104,IF(Caractéristiques!$C$44=30,I104,IF(Caractéristiques!$C$44=60,H104,IF(Caractéristiques!$C$44=90,G104,"erreur"))))</f>
        <v>0</v>
      </c>
      <c r="K105" s="54">
        <f>IF(Caractéristiques!$C$44=0,K104,IF(Caractéristiques!$C$44=30,J104,IF(Caractéristiques!$C$44=60,I104,IF(Caractéristiques!$C$44=90,H104,"erreur"))))</f>
        <v>0</v>
      </c>
      <c r="L105" s="54">
        <f>IF(Caractéristiques!$C$44=0,L104,IF(Caractéristiques!$C$44=30,K104,IF(Caractéristiques!$C$44=60,J104,IF(Caractéristiques!$C$44=90,I104,"erreur"))))</f>
        <v>0</v>
      </c>
      <c r="M105" s="54">
        <f>IF(Caractéristiques!$C$44=0,M104,IF(Caractéristiques!$C$44=30,L104,IF(Caractéristiques!$C$44=60,K104,IF(Caractéristiques!$C$44=90,J104,"erreur"))))</f>
        <v>0</v>
      </c>
      <c r="N105" s="54">
        <f>IF(Caractéristiques!$C$44=0,N104,IF(Caractéristiques!$C$44=30,M104,IF(Caractéristiques!$C$44=60,L104,IF(Caractéristiques!$C$44=90,K104,"erreur"))))</f>
        <v>0</v>
      </c>
      <c r="O105" s="54">
        <f>SUM(C105:N105)</f>
        <v>0</v>
      </c>
      <c r="P105" s="78">
        <f>IF(Caractéristiques!$C$44=0,0,IF(Caractéristiques!$C$44=30,N104,IF(Caractéristiques!$C$44=60,(N104+M104),IF(Caractéristiques!$C$44=90,(N104+M104+L104),"erreur"))))</f>
        <v>0</v>
      </c>
      <c r="Q105" s="31"/>
      <c r="R105" s="39"/>
    </row>
    <row r="106" spans="1:18" x14ac:dyDescent="0.25">
      <c r="A106" s="38"/>
      <c r="B106" s="29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9"/>
    </row>
    <row r="107" spans="1:18" ht="18.75" x14ac:dyDescent="0.25">
      <c r="A107" s="38"/>
      <c r="B107" s="45" t="s">
        <v>147</v>
      </c>
      <c r="C107" s="46" t="s">
        <v>149</v>
      </c>
      <c r="D107" s="46" t="s">
        <v>150</v>
      </c>
      <c r="E107" s="46" t="s">
        <v>151</v>
      </c>
      <c r="F107" s="46" t="s">
        <v>152</v>
      </c>
      <c r="G107" s="46" t="s">
        <v>153</v>
      </c>
      <c r="H107" s="46" t="s">
        <v>154</v>
      </c>
      <c r="I107" s="46" t="s">
        <v>155</v>
      </c>
      <c r="J107" s="46" t="s">
        <v>156</v>
      </c>
      <c r="K107" s="46" t="s">
        <v>157</v>
      </c>
      <c r="L107" s="46" t="s">
        <v>158</v>
      </c>
      <c r="M107" s="46" t="s">
        <v>159</v>
      </c>
      <c r="N107" s="46" t="s">
        <v>160</v>
      </c>
      <c r="O107" s="46" t="s">
        <v>240</v>
      </c>
      <c r="P107" s="50" t="s">
        <v>204</v>
      </c>
      <c r="Q107" s="31"/>
      <c r="R107" s="39"/>
    </row>
    <row r="108" spans="1:18" x14ac:dyDescent="0.25">
      <c r="A108" s="38"/>
      <c r="B108" s="33" t="s">
        <v>212</v>
      </c>
      <c r="C108" s="54">
        <f>Activité!C50*(1+Caractéristiques!$C$38)</f>
        <v>0</v>
      </c>
      <c r="D108" s="54">
        <f>Activité!D50*(1+Caractéristiques!$C$38)</f>
        <v>0</v>
      </c>
      <c r="E108" s="54">
        <f>Activité!E50*(1+Caractéristiques!$C$38)</f>
        <v>0</v>
      </c>
      <c r="F108" s="54">
        <f>Activité!F50*(1+Caractéristiques!$C$38)</f>
        <v>0</v>
      </c>
      <c r="G108" s="54">
        <f>Activité!G50*(1+Caractéristiques!$C$38)</f>
        <v>0</v>
      </c>
      <c r="H108" s="54">
        <f>Activité!H50*(1+Caractéristiques!$C$38)</f>
        <v>0</v>
      </c>
      <c r="I108" s="54">
        <f>Activité!I50*(1+Caractéristiques!$C$38)</f>
        <v>0</v>
      </c>
      <c r="J108" s="54">
        <f>Activité!J50*(1+Caractéristiques!$C$38)</f>
        <v>0</v>
      </c>
      <c r="K108" s="54">
        <f>Activité!K50*(1+Caractéristiques!$C$38)</f>
        <v>0</v>
      </c>
      <c r="L108" s="54">
        <f>Activité!L50*(1+Caractéristiques!$C$38)</f>
        <v>0</v>
      </c>
      <c r="M108" s="54">
        <f>Activité!M50*(1+Caractéristiques!$C$38)</f>
        <v>0</v>
      </c>
      <c r="N108" s="54">
        <f>Activité!N50*(1+Caractéristiques!$C$38)</f>
        <v>0</v>
      </c>
      <c r="O108" s="54">
        <f>SUM(C108:N108)</f>
        <v>0</v>
      </c>
      <c r="P108" s="78"/>
      <c r="Q108" s="31"/>
      <c r="R108" s="39"/>
    </row>
    <row r="109" spans="1:18" x14ac:dyDescent="0.25">
      <c r="A109" s="38"/>
      <c r="B109" s="33" t="s">
        <v>211</v>
      </c>
      <c r="C109" s="54">
        <f>IF(Caractéristiques!$C$44=0,C108,IF(Caractéristiques!$C$44=30,0,IF(Caractéristiques!$C$44=60,0,IF(Caractéristiques!$C$44=90,0,"erreur"))))</f>
        <v>0</v>
      </c>
      <c r="D109" s="54">
        <f>IF(Caractéristiques!$C$44=0,D108,IF(Caractéristiques!$C$44=30,C108,IF(Caractéristiques!$C$44=60,0,IF(Caractéristiques!$C$44=90,0,"erreur"))))</f>
        <v>0</v>
      </c>
      <c r="E109" s="54">
        <f>IF(Caractéristiques!$C$44=0,E108,IF(Caractéristiques!$C$44=30,D108,IF(Caractéristiques!$C$44=60,C108,IF(Caractéristiques!$C$44=90,0,"erreur"))))</f>
        <v>0</v>
      </c>
      <c r="F109" s="54">
        <f>IF(Caractéristiques!$C$44=0,F108,IF(Caractéristiques!$C$44=30,E108,IF(Caractéristiques!$C$44=60,D108,IF(Caractéristiques!$C$44=90,C108,"erreur"))))</f>
        <v>0</v>
      </c>
      <c r="G109" s="54">
        <f>IF(Caractéristiques!$C$44=0,G108,IF(Caractéristiques!$C$44=30,F108,IF(Caractéristiques!$C$44=60,E108,IF(Caractéristiques!$C$44=90,D108,"erreur"))))</f>
        <v>0</v>
      </c>
      <c r="H109" s="54">
        <f>IF(Caractéristiques!$C$44=0,H108,IF(Caractéristiques!$C$44=30,G108,IF(Caractéristiques!$C$44=60,F108,IF(Caractéristiques!$C$44=90,E108,"erreur"))))</f>
        <v>0</v>
      </c>
      <c r="I109" s="54">
        <f>IF(Caractéristiques!$C$44=0,I108,IF(Caractéristiques!$C$44=30,H108,IF(Caractéristiques!$C$44=60,G108,IF(Caractéristiques!$C$44=90,F108,"erreur"))))</f>
        <v>0</v>
      </c>
      <c r="J109" s="54">
        <f>IF(Caractéristiques!$C$44=0,J108,IF(Caractéristiques!$C$44=30,I108,IF(Caractéristiques!$C$44=60,H108,IF(Caractéristiques!$C$44=90,G108,"erreur"))))</f>
        <v>0</v>
      </c>
      <c r="K109" s="54">
        <f>IF(Caractéristiques!$C$44=0,K108,IF(Caractéristiques!$C$44=30,J108,IF(Caractéristiques!$C$44=60,I108,IF(Caractéristiques!$C$44=90,H108,"erreur"))))</f>
        <v>0</v>
      </c>
      <c r="L109" s="54">
        <f>IF(Caractéristiques!$C$44=0,L108,IF(Caractéristiques!$C$44=30,K108,IF(Caractéristiques!$C$44=60,J108,IF(Caractéristiques!$C$44=90,I108,"erreur"))))</f>
        <v>0</v>
      </c>
      <c r="M109" s="54">
        <f>IF(Caractéristiques!$C$44=0,M108,IF(Caractéristiques!$C$44=30,L108,IF(Caractéristiques!$C$44=60,K108,IF(Caractéristiques!$C$44=90,J108,"erreur"))))</f>
        <v>0</v>
      </c>
      <c r="N109" s="54">
        <f>IF(Caractéristiques!$C$44=0,N108,IF(Caractéristiques!$C$44=30,M108,IF(Caractéristiques!$C$44=60,L108,IF(Caractéristiques!$C$44=90,K108,"erreur"))))</f>
        <v>0</v>
      </c>
      <c r="O109" s="54">
        <f>SUM(C109:N109)</f>
        <v>0</v>
      </c>
      <c r="P109" s="78">
        <f>IF(Caractéristiques!$C$44=0,0,IF(Caractéristiques!$C$44=30,N108,IF(Caractéristiques!$C$44=60,(N108+M108),IF(Caractéristiques!$C$44=90,(N108+M108+L108),"erreur"))))</f>
        <v>0</v>
      </c>
      <c r="Q109" s="31"/>
      <c r="R109" s="39"/>
    </row>
    <row r="110" spans="1:18" x14ac:dyDescent="0.25">
      <c r="A110" s="38"/>
      <c r="B110" s="29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9"/>
    </row>
    <row r="111" spans="1:18" ht="18.75" x14ac:dyDescent="0.25">
      <c r="A111" s="38"/>
      <c r="B111" s="45" t="s">
        <v>148</v>
      </c>
      <c r="C111" s="46" t="s">
        <v>149</v>
      </c>
      <c r="D111" s="46" t="s">
        <v>150</v>
      </c>
      <c r="E111" s="46" t="s">
        <v>151</v>
      </c>
      <c r="F111" s="46" t="s">
        <v>152</v>
      </c>
      <c r="G111" s="46" t="s">
        <v>153</v>
      </c>
      <c r="H111" s="46" t="s">
        <v>154</v>
      </c>
      <c r="I111" s="46" t="s">
        <v>155</v>
      </c>
      <c r="J111" s="46" t="s">
        <v>156</v>
      </c>
      <c r="K111" s="46" t="s">
        <v>157</v>
      </c>
      <c r="L111" s="46" t="s">
        <v>158</v>
      </c>
      <c r="M111" s="46" t="s">
        <v>159</v>
      </c>
      <c r="N111" s="46" t="s">
        <v>160</v>
      </c>
      <c r="O111" s="46" t="s">
        <v>240</v>
      </c>
      <c r="P111" s="50" t="s">
        <v>204</v>
      </c>
      <c r="Q111" s="31"/>
      <c r="R111" s="39"/>
    </row>
    <row r="112" spans="1:18" x14ac:dyDescent="0.25">
      <c r="A112" s="38"/>
      <c r="B112" s="33" t="s">
        <v>212</v>
      </c>
      <c r="C112" s="54">
        <f>Activité!C68*(1+Caractéristiques!$C$38)</f>
        <v>0</v>
      </c>
      <c r="D112" s="54">
        <f>Activité!D68*(1+Caractéristiques!$C$38)</f>
        <v>0</v>
      </c>
      <c r="E112" s="54">
        <f>Activité!E68*(1+Caractéristiques!$C$38)</f>
        <v>0</v>
      </c>
      <c r="F112" s="54">
        <f>Activité!F68*(1+Caractéristiques!$C$38)</f>
        <v>0</v>
      </c>
      <c r="G112" s="54">
        <f>Activité!G68*(1+Caractéristiques!$C$38)</f>
        <v>0</v>
      </c>
      <c r="H112" s="54">
        <f>Activité!H68*(1+Caractéristiques!$C$38)</f>
        <v>0</v>
      </c>
      <c r="I112" s="54">
        <f>Activité!I68*(1+Caractéristiques!$C$38)</f>
        <v>0</v>
      </c>
      <c r="J112" s="54">
        <f>Activité!J68*(1+Caractéristiques!$C$38)</f>
        <v>0</v>
      </c>
      <c r="K112" s="54">
        <f>Activité!K68*(1+Caractéristiques!$C$38)</f>
        <v>0</v>
      </c>
      <c r="L112" s="54">
        <f>Activité!L68*(1+Caractéristiques!$C$38)</f>
        <v>0</v>
      </c>
      <c r="M112" s="54">
        <f>Activité!M68*(1+Caractéristiques!$C$38)</f>
        <v>0</v>
      </c>
      <c r="N112" s="54">
        <f>Activité!N68*(1+Caractéristiques!$C$38)</f>
        <v>0</v>
      </c>
      <c r="O112" s="54">
        <f>SUM(C112:N112)</f>
        <v>0</v>
      </c>
      <c r="P112" s="78"/>
      <c r="Q112" s="31"/>
      <c r="R112" s="39"/>
    </row>
    <row r="113" spans="1:18" x14ac:dyDescent="0.25">
      <c r="A113" s="38"/>
      <c r="B113" s="33" t="s">
        <v>211</v>
      </c>
      <c r="C113" s="54">
        <f>IF(Caractéristiques!$C$44=0,C112,IF(Caractéristiques!$C$44=30,0,IF(Caractéristiques!$C$44=60,0,IF(Caractéristiques!$C$44=90,0,"erreur"))))</f>
        <v>0</v>
      </c>
      <c r="D113" s="54">
        <f>IF(Caractéristiques!$C$44=0,D112,IF(Caractéristiques!$C$44=30,C112,IF(Caractéristiques!$C$44=60,0,IF(Caractéristiques!$C$44=90,0,"erreur"))))</f>
        <v>0</v>
      </c>
      <c r="E113" s="54">
        <f>IF(Caractéristiques!$C$44=0,E112,IF(Caractéristiques!$C$44=30,D112,IF(Caractéristiques!$C$44=60,C112,IF(Caractéristiques!$C$44=90,0,"erreur"))))</f>
        <v>0</v>
      </c>
      <c r="F113" s="54">
        <f>IF(Caractéristiques!$C$44=0,F112,IF(Caractéristiques!$C$44=30,E112,IF(Caractéristiques!$C$44=60,D112,IF(Caractéristiques!$C$44=90,C112,"erreur"))))</f>
        <v>0</v>
      </c>
      <c r="G113" s="54">
        <f>IF(Caractéristiques!$C$44=0,G112,IF(Caractéristiques!$C$44=30,F112,IF(Caractéristiques!$C$44=60,E112,IF(Caractéristiques!$C$44=90,D112,"erreur"))))</f>
        <v>0</v>
      </c>
      <c r="H113" s="54">
        <f>IF(Caractéristiques!$C$44=0,H112,IF(Caractéristiques!$C$44=30,G112,IF(Caractéristiques!$C$44=60,F112,IF(Caractéristiques!$C$44=90,E112,"erreur"))))</f>
        <v>0</v>
      </c>
      <c r="I113" s="54">
        <f>IF(Caractéristiques!$C$44=0,I112,IF(Caractéristiques!$C$44=30,H112,IF(Caractéristiques!$C$44=60,G112,IF(Caractéristiques!$C$44=90,F112,"erreur"))))</f>
        <v>0</v>
      </c>
      <c r="J113" s="54">
        <f>IF(Caractéristiques!$C$44=0,J112,IF(Caractéristiques!$C$44=30,I112,IF(Caractéristiques!$C$44=60,H112,IF(Caractéristiques!$C$44=90,G112,"erreur"))))</f>
        <v>0</v>
      </c>
      <c r="K113" s="54">
        <f>IF(Caractéristiques!$C$44=0,K112,IF(Caractéristiques!$C$44=30,J112,IF(Caractéristiques!$C$44=60,I112,IF(Caractéristiques!$C$44=90,H112,"erreur"))))</f>
        <v>0</v>
      </c>
      <c r="L113" s="54">
        <f>IF(Caractéristiques!$C$44=0,L112,IF(Caractéristiques!$C$44=30,K112,IF(Caractéristiques!$C$44=60,J112,IF(Caractéristiques!$C$44=90,I112,"erreur"))))</f>
        <v>0</v>
      </c>
      <c r="M113" s="54">
        <f>IF(Caractéristiques!$C$44=0,M112,IF(Caractéristiques!$C$44=30,L112,IF(Caractéristiques!$C$44=60,K112,IF(Caractéristiques!$C$44=90,J112,"erreur"))))</f>
        <v>0</v>
      </c>
      <c r="N113" s="54">
        <f>IF(Caractéristiques!$C$44=0,N112,IF(Caractéristiques!$C$44=30,M112,IF(Caractéristiques!$C$44=60,L112,IF(Caractéristiques!$C$44=90,K112,"erreur"))))</f>
        <v>0</v>
      </c>
      <c r="O113" s="54">
        <f>SUM(C113:N113)</f>
        <v>0</v>
      </c>
      <c r="P113" s="78">
        <f>IF(Caractéristiques!$C$44=0,0,IF(Caractéristiques!$C$44=30,N112,IF(Caractéristiques!$C$44=60,(N112+M112),IF(Caractéristiques!$C$44=90,(N112+M112+L112),"erreur"))))</f>
        <v>0</v>
      </c>
      <c r="Q113" s="31"/>
      <c r="R113" s="39"/>
    </row>
    <row r="114" spans="1:18" x14ac:dyDescent="0.25">
      <c r="A114" s="38"/>
      <c r="B114" s="29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9"/>
    </row>
    <row r="115" spans="1:18" ht="18.75" x14ac:dyDescent="0.3">
      <c r="A115" s="38"/>
      <c r="B115" s="81" t="s">
        <v>218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9"/>
    </row>
    <row r="116" spans="1:18" ht="29.25" customHeight="1" x14ac:dyDescent="0.25">
      <c r="A116" s="38"/>
      <c r="B116" s="31"/>
      <c r="C116" s="71" t="s">
        <v>146</v>
      </c>
      <c r="D116" s="72" t="s">
        <v>29</v>
      </c>
      <c r="E116" s="71" t="s">
        <v>147</v>
      </c>
      <c r="F116" s="72" t="s">
        <v>29</v>
      </c>
      <c r="G116" s="71" t="s">
        <v>148</v>
      </c>
      <c r="H116" s="72" t="s">
        <v>30</v>
      </c>
      <c r="I116" s="105" t="s">
        <v>384</v>
      </c>
      <c r="J116" s="106" t="s">
        <v>213</v>
      </c>
      <c r="K116" s="105" t="s">
        <v>381</v>
      </c>
      <c r="L116" s="105" t="s">
        <v>382</v>
      </c>
      <c r="M116" s="105" t="s">
        <v>383</v>
      </c>
      <c r="Q116"/>
      <c r="R116" s="39"/>
    </row>
    <row r="117" spans="1:18" ht="15" customHeight="1" x14ac:dyDescent="0.25">
      <c r="A117" s="38"/>
      <c r="B117" s="67" t="str">
        <f>'Frais généraux'!B17</f>
        <v>Fournitures consommables</v>
      </c>
      <c r="C117" s="109">
        <f>+'Frais généraux'!C17</f>
        <v>0</v>
      </c>
      <c r="D117" s="4">
        <f>+'Frais généraux'!D17</f>
        <v>0</v>
      </c>
      <c r="E117" s="112">
        <f>+'Frais généraux'!E17</f>
        <v>0</v>
      </c>
      <c r="F117" s="113">
        <f>+'Frais généraux'!F17</f>
        <v>0</v>
      </c>
      <c r="G117" s="112">
        <f>+'Frais généraux'!G17</f>
        <v>0</v>
      </c>
      <c r="H117" s="80">
        <f>+'Frais généraux'!H17</f>
        <v>0.2</v>
      </c>
      <c r="I117" s="80" t="str">
        <f>+'Frais généraux'!I17</f>
        <v>Mensuel</v>
      </c>
      <c r="J117" s="107">
        <f>+'Frais généraux'!J17</f>
        <v>0</v>
      </c>
      <c r="K117" s="229">
        <f>+C117*(1+H117)</f>
        <v>0</v>
      </c>
      <c r="L117" s="229">
        <f>E117*(1+H117)</f>
        <v>0</v>
      </c>
      <c r="M117" s="229">
        <f>G117*(1+H117)</f>
        <v>0</v>
      </c>
      <c r="Q117"/>
      <c r="R117" s="39"/>
    </row>
    <row r="118" spans="1:18" ht="15" customHeight="1" x14ac:dyDescent="0.25">
      <c r="A118" s="38"/>
      <c r="B118" s="67" t="str">
        <f>'Frais généraux'!B18</f>
        <v>Emballages</v>
      </c>
      <c r="C118" s="109">
        <f>+'Frais généraux'!C18</f>
        <v>0</v>
      </c>
      <c r="D118" s="4">
        <f>+'Frais généraux'!D18</f>
        <v>0</v>
      </c>
      <c r="E118" s="112">
        <f>+'Frais généraux'!E18</f>
        <v>0</v>
      </c>
      <c r="F118" s="113">
        <f>+'Frais généraux'!F18</f>
        <v>0</v>
      </c>
      <c r="G118" s="112">
        <f>+'Frais généraux'!G18</f>
        <v>0</v>
      </c>
      <c r="H118" s="80">
        <f>+'Frais généraux'!H18</f>
        <v>0.2</v>
      </c>
      <c r="I118" s="80" t="str">
        <f>+'Frais généraux'!I18</f>
        <v>Mensuel</v>
      </c>
      <c r="J118" s="107">
        <f>+'Frais généraux'!J18</f>
        <v>0</v>
      </c>
      <c r="K118" s="229">
        <f t="shared" ref="K118:K170" si="16">+C118*(1+H118)</f>
        <v>0</v>
      </c>
      <c r="L118" s="229">
        <f t="shared" ref="L118:L170" si="17">E118*(1+H118)</f>
        <v>0</v>
      </c>
      <c r="M118" s="229">
        <f t="shared" ref="M118:M170" si="18">G118*(1+H118)</f>
        <v>0</v>
      </c>
      <c r="Q118"/>
      <c r="R118" s="39"/>
    </row>
    <row r="119" spans="1:18" s="9" customFormat="1" ht="15" customHeight="1" x14ac:dyDescent="0.25">
      <c r="A119" s="61"/>
      <c r="B119" s="67" t="str">
        <f>'Frais généraux'!B19</f>
        <v>Carburant</v>
      </c>
      <c r="C119" s="109">
        <f>+'Frais généraux'!C19</f>
        <v>0</v>
      </c>
      <c r="D119" s="4">
        <f>+'Frais généraux'!D19</f>
        <v>0</v>
      </c>
      <c r="E119" s="112">
        <f>+'Frais généraux'!E19</f>
        <v>0</v>
      </c>
      <c r="F119" s="113">
        <f>+'Frais généraux'!F19</f>
        <v>0</v>
      </c>
      <c r="G119" s="112">
        <f>+'Frais généraux'!G19</f>
        <v>0</v>
      </c>
      <c r="H119" s="80">
        <f>+'Frais généraux'!H19</f>
        <v>0.2</v>
      </c>
      <c r="I119" s="80" t="str">
        <f>+'Frais généraux'!I19</f>
        <v>Mensuel</v>
      </c>
      <c r="J119" s="107">
        <f>+'Frais généraux'!J19</f>
        <v>0</v>
      </c>
      <c r="K119" s="229">
        <f t="shared" si="16"/>
        <v>0</v>
      </c>
      <c r="L119" s="229">
        <f t="shared" si="17"/>
        <v>0</v>
      </c>
      <c r="M119" s="229">
        <f t="shared" si="18"/>
        <v>0</v>
      </c>
      <c r="R119" s="62"/>
    </row>
    <row r="120" spans="1:18" s="9" customFormat="1" ht="15" customHeight="1" x14ac:dyDescent="0.25">
      <c r="A120" s="61"/>
      <c r="B120" s="67" t="str">
        <f>'Frais généraux'!B20</f>
        <v>Electricité</v>
      </c>
      <c r="C120" s="109">
        <f>+'Frais généraux'!C20</f>
        <v>0</v>
      </c>
      <c r="D120" s="4">
        <f>+'Frais généraux'!D20</f>
        <v>0</v>
      </c>
      <c r="E120" s="112">
        <f>+'Frais généraux'!E20</f>
        <v>0</v>
      </c>
      <c r="F120" s="113">
        <f>+'Frais généraux'!F20</f>
        <v>0</v>
      </c>
      <c r="G120" s="112">
        <f>+'Frais généraux'!G20</f>
        <v>0</v>
      </c>
      <c r="H120" s="80">
        <f>+'Frais généraux'!H20</f>
        <v>0.2</v>
      </c>
      <c r="I120" s="80" t="str">
        <f>+'Frais généraux'!I20</f>
        <v>Mensuel</v>
      </c>
      <c r="J120" s="107">
        <f>+'Frais généraux'!J20</f>
        <v>0</v>
      </c>
      <c r="K120" s="229">
        <f t="shared" si="16"/>
        <v>0</v>
      </c>
      <c r="L120" s="229">
        <f t="shared" si="17"/>
        <v>0</v>
      </c>
      <c r="M120" s="229">
        <f t="shared" si="18"/>
        <v>0</v>
      </c>
      <c r="R120" s="62"/>
    </row>
    <row r="121" spans="1:18" s="9" customFormat="1" ht="15" customHeight="1" x14ac:dyDescent="0.25">
      <c r="A121" s="61"/>
      <c r="B121" s="67" t="str">
        <f>'Frais généraux'!B21</f>
        <v>Eau</v>
      </c>
      <c r="C121" s="109">
        <f>+'Frais généraux'!C21</f>
        <v>0</v>
      </c>
      <c r="D121" s="4">
        <f>+'Frais généraux'!D21</f>
        <v>0</v>
      </c>
      <c r="E121" s="112">
        <f>+'Frais généraux'!E21</f>
        <v>0</v>
      </c>
      <c r="F121" s="113">
        <f>+'Frais généraux'!F21</f>
        <v>0</v>
      </c>
      <c r="G121" s="112">
        <f>+'Frais généraux'!G21</f>
        <v>0</v>
      </c>
      <c r="H121" s="80">
        <f>+'Frais généraux'!H21</f>
        <v>0.2</v>
      </c>
      <c r="I121" s="80" t="str">
        <f>+'Frais généraux'!I21</f>
        <v>Mensuel</v>
      </c>
      <c r="J121" s="107">
        <f>+'Frais généraux'!J21</f>
        <v>0</v>
      </c>
      <c r="K121" s="229">
        <f t="shared" si="16"/>
        <v>0</v>
      </c>
      <c r="L121" s="229">
        <f t="shared" si="17"/>
        <v>0</v>
      </c>
      <c r="M121" s="229">
        <f t="shared" si="18"/>
        <v>0</v>
      </c>
      <c r="R121" s="62"/>
    </row>
    <row r="122" spans="1:18" s="9" customFormat="1" ht="15" customHeight="1" x14ac:dyDescent="0.25">
      <c r="A122" s="61"/>
      <c r="B122" s="67" t="str">
        <f>'Frais généraux'!B22</f>
        <v>Gaz</v>
      </c>
      <c r="C122" s="109">
        <f>+'Frais généraux'!C22</f>
        <v>0</v>
      </c>
      <c r="D122" s="4">
        <f>+'Frais généraux'!D22</f>
        <v>0</v>
      </c>
      <c r="E122" s="112">
        <f>+'Frais généraux'!E22</f>
        <v>0</v>
      </c>
      <c r="F122" s="113">
        <f>+'Frais généraux'!F22</f>
        <v>0</v>
      </c>
      <c r="G122" s="112">
        <f>+'Frais généraux'!G22</f>
        <v>0</v>
      </c>
      <c r="H122" s="80">
        <f>+'Frais généraux'!H22</f>
        <v>0.2</v>
      </c>
      <c r="I122" s="80" t="str">
        <f>+'Frais généraux'!I22</f>
        <v>Mensuel</v>
      </c>
      <c r="J122" s="107">
        <f>+'Frais généraux'!J22</f>
        <v>0</v>
      </c>
      <c r="K122" s="229">
        <f t="shared" si="16"/>
        <v>0</v>
      </c>
      <c r="L122" s="229">
        <f t="shared" si="17"/>
        <v>0</v>
      </c>
      <c r="M122" s="229">
        <f t="shared" si="18"/>
        <v>0</v>
      </c>
      <c r="R122" s="62"/>
    </row>
    <row r="123" spans="1:18" s="2" customFormat="1" ht="15" customHeight="1" x14ac:dyDescent="0.25">
      <c r="A123" s="63"/>
      <c r="B123" s="67" t="str">
        <f>'Frais généraux'!B23</f>
        <v>Fourniture d'entretien et de petit équipement</v>
      </c>
      <c r="C123" s="109">
        <f>+'Frais généraux'!C23</f>
        <v>0</v>
      </c>
      <c r="D123" s="4">
        <f>+'Frais généraux'!D23</f>
        <v>0</v>
      </c>
      <c r="E123" s="112">
        <f>+'Frais généraux'!E23</f>
        <v>0</v>
      </c>
      <c r="F123" s="113">
        <f>+'Frais généraux'!F23</f>
        <v>0</v>
      </c>
      <c r="G123" s="112">
        <f>+'Frais généraux'!G23</f>
        <v>0</v>
      </c>
      <c r="H123" s="80">
        <f>+'Frais généraux'!H23</f>
        <v>0.2</v>
      </c>
      <c r="I123" s="80" t="str">
        <f>+'Frais généraux'!I23</f>
        <v>Mensuel</v>
      </c>
      <c r="J123" s="107">
        <f>+'Frais généraux'!J23</f>
        <v>0</v>
      </c>
      <c r="K123" s="229">
        <f t="shared" si="16"/>
        <v>0</v>
      </c>
      <c r="L123" s="229">
        <f t="shared" si="17"/>
        <v>0</v>
      </c>
      <c r="M123" s="229">
        <f t="shared" si="18"/>
        <v>0</v>
      </c>
      <c r="R123" s="64"/>
    </row>
    <row r="124" spans="1:18" s="2" customFormat="1" ht="15" customHeight="1" x14ac:dyDescent="0.25">
      <c r="A124" s="63"/>
      <c r="B124" s="67" t="str">
        <f>'Frais généraux'!B24</f>
        <v>Vétêment de travail</v>
      </c>
      <c r="C124" s="109">
        <f>+'Frais généraux'!C24</f>
        <v>0</v>
      </c>
      <c r="D124" s="4">
        <f>+'Frais généraux'!D24</f>
        <v>0</v>
      </c>
      <c r="E124" s="112">
        <f>+'Frais généraux'!E24</f>
        <v>0</v>
      </c>
      <c r="F124" s="113">
        <f>+'Frais généraux'!F24</f>
        <v>0</v>
      </c>
      <c r="G124" s="112">
        <f>+'Frais généraux'!G24</f>
        <v>0</v>
      </c>
      <c r="H124" s="80">
        <f>+'Frais généraux'!H24</f>
        <v>0.2</v>
      </c>
      <c r="I124" s="80" t="str">
        <f>+'Frais généraux'!I24</f>
        <v>Mensuel</v>
      </c>
      <c r="J124" s="107">
        <f>+'Frais généraux'!J24</f>
        <v>0</v>
      </c>
      <c r="K124" s="229">
        <f t="shared" si="16"/>
        <v>0</v>
      </c>
      <c r="L124" s="229">
        <f t="shared" si="17"/>
        <v>0</v>
      </c>
      <c r="M124" s="229">
        <f t="shared" si="18"/>
        <v>0</v>
      </c>
      <c r="R124" s="64"/>
    </row>
    <row r="125" spans="1:18" ht="15" customHeight="1" x14ac:dyDescent="0.25">
      <c r="A125" s="38"/>
      <c r="B125" s="67" t="str">
        <f>'Frais généraux'!B25</f>
        <v>Fournitures administratives</v>
      </c>
      <c r="C125" s="109">
        <f>+'Frais généraux'!C25</f>
        <v>0</v>
      </c>
      <c r="D125" s="4">
        <f>+'Frais généraux'!D25</f>
        <v>0</v>
      </c>
      <c r="E125" s="112">
        <f>+'Frais généraux'!E25</f>
        <v>0</v>
      </c>
      <c r="F125" s="113">
        <f>+'Frais généraux'!F25</f>
        <v>0</v>
      </c>
      <c r="G125" s="112">
        <f>+'Frais généraux'!G25</f>
        <v>0</v>
      </c>
      <c r="H125" s="80">
        <f>+'Frais généraux'!H25</f>
        <v>0.2</v>
      </c>
      <c r="I125" s="80" t="str">
        <f>+'Frais généraux'!I25</f>
        <v>Mensuel</v>
      </c>
      <c r="J125" s="107">
        <f>+'Frais généraux'!J25</f>
        <v>0</v>
      </c>
      <c r="K125" s="229">
        <f t="shared" si="16"/>
        <v>0</v>
      </c>
      <c r="L125" s="229">
        <f t="shared" si="17"/>
        <v>0</v>
      </c>
      <c r="M125" s="229">
        <f t="shared" si="18"/>
        <v>0</v>
      </c>
      <c r="Q125"/>
      <c r="R125" s="39"/>
    </row>
    <row r="126" spans="1:18" x14ac:dyDescent="0.25">
      <c r="A126" s="38"/>
      <c r="B126" s="67" t="str">
        <f>'Frais généraux'!B26</f>
        <v>Sous-traitance</v>
      </c>
      <c r="C126" s="109">
        <f>+'Frais généraux'!C26</f>
        <v>0</v>
      </c>
      <c r="D126" s="4">
        <f>+'Frais généraux'!D26</f>
        <v>0</v>
      </c>
      <c r="E126" s="112">
        <f>+'Frais généraux'!E26</f>
        <v>0</v>
      </c>
      <c r="F126" s="113">
        <f>+'Frais généraux'!F26</f>
        <v>0</v>
      </c>
      <c r="G126" s="112">
        <f>+'Frais généraux'!G26</f>
        <v>0</v>
      </c>
      <c r="H126" s="80">
        <f>+'Frais généraux'!H26</f>
        <v>0.2</v>
      </c>
      <c r="I126" s="80" t="str">
        <f>+'Frais généraux'!I26</f>
        <v>Mensuel</v>
      </c>
      <c r="J126" s="107">
        <f>+'Frais généraux'!J26</f>
        <v>0</v>
      </c>
      <c r="K126" s="229">
        <f t="shared" si="16"/>
        <v>0</v>
      </c>
      <c r="L126" s="229">
        <f t="shared" si="17"/>
        <v>0</v>
      </c>
      <c r="M126" s="229">
        <f t="shared" si="18"/>
        <v>0</v>
      </c>
      <c r="Q126"/>
      <c r="R126" s="39"/>
    </row>
    <row r="127" spans="1:18" x14ac:dyDescent="0.25">
      <c r="A127" s="38"/>
      <c r="B127" s="67" t="str">
        <f>'Frais généraux'!B27</f>
        <v>Redevances de crédit-bail</v>
      </c>
      <c r="C127" s="109">
        <f>+'Frais généraux'!C27</f>
        <v>0</v>
      </c>
      <c r="D127" s="4">
        <f>+'Frais généraux'!D27</f>
        <v>0</v>
      </c>
      <c r="E127" s="112">
        <f>+'Frais généraux'!E27</f>
        <v>0</v>
      </c>
      <c r="F127" s="113">
        <f>+'Frais généraux'!F27</f>
        <v>0</v>
      </c>
      <c r="G127" s="112">
        <f>+'Frais généraux'!G27</f>
        <v>0</v>
      </c>
      <c r="H127" s="80">
        <f>+'Frais généraux'!H27</f>
        <v>0.2</v>
      </c>
      <c r="I127" s="80" t="str">
        <f>+'Frais généraux'!I27</f>
        <v>Mensuel</v>
      </c>
      <c r="J127" s="107">
        <f>+'Frais généraux'!J27</f>
        <v>0</v>
      </c>
      <c r="K127" s="229">
        <f t="shared" si="16"/>
        <v>0</v>
      </c>
      <c r="L127" s="229">
        <f t="shared" si="17"/>
        <v>0</v>
      </c>
      <c r="M127" s="229">
        <f t="shared" si="18"/>
        <v>0</v>
      </c>
      <c r="Q127"/>
      <c r="R127" s="39"/>
    </row>
    <row r="128" spans="1:18" x14ac:dyDescent="0.25">
      <c r="A128" s="38"/>
      <c r="B128" s="67" t="str">
        <f>'Frais généraux'!B28</f>
        <v>Locations immobilières</v>
      </c>
      <c r="C128" s="109">
        <f>+'Frais généraux'!C28</f>
        <v>0</v>
      </c>
      <c r="D128" s="4">
        <f>+'Frais généraux'!D28</f>
        <v>0</v>
      </c>
      <c r="E128" s="112">
        <f>+'Frais généraux'!E28</f>
        <v>0</v>
      </c>
      <c r="F128" s="113">
        <f>+'Frais généraux'!F28</f>
        <v>0</v>
      </c>
      <c r="G128" s="112">
        <f>+'Frais généraux'!G28</f>
        <v>0</v>
      </c>
      <c r="H128" s="80">
        <f>+'Frais généraux'!H28</f>
        <v>0.2</v>
      </c>
      <c r="I128" s="80" t="str">
        <f>+'Frais généraux'!I28</f>
        <v>Mensuel</v>
      </c>
      <c r="J128" s="107">
        <f>+'Frais généraux'!J28</f>
        <v>0</v>
      </c>
      <c r="K128" s="229">
        <f t="shared" si="16"/>
        <v>0</v>
      </c>
      <c r="L128" s="229">
        <f t="shared" si="17"/>
        <v>0</v>
      </c>
      <c r="M128" s="229">
        <f t="shared" si="18"/>
        <v>0</v>
      </c>
      <c r="Q128"/>
      <c r="R128" s="39"/>
    </row>
    <row r="129" spans="1:18" x14ac:dyDescent="0.25">
      <c r="A129" s="38"/>
      <c r="B129" s="67" t="str">
        <f>'Frais généraux'!B29</f>
        <v>Locations mobilières</v>
      </c>
      <c r="C129" s="109">
        <f>+'Frais généraux'!C29</f>
        <v>0</v>
      </c>
      <c r="D129" s="4">
        <f>+'Frais généraux'!D29</f>
        <v>0</v>
      </c>
      <c r="E129" s="112">
        <f>+'Frais généraux'!E29</f>
        <v>0</v>
      </c>
      <c r="F129" s="113">
        <f>+'Frais généraux'!F29</f>
        <v>0</v>
      </c>
      <c r="G129" s="112">
        <f>+'Frais généraux'!G29</f>
        <v>0</v>
      </c>
      <c r="H129" s="80">
        <f>+'Frais généraux'!H29</f>
        <v>0.2</v>
      </c>
      <c r="I129" s="80" t="str">
        <f>+'Frais généraux'!I29</f>
        <v>Mensuel</v>
      </c>
      <c r="J129" s="107">
        <f>+'Frais généraux'!J29</f>
        <v>0</v>
      </c>
      <c r="K129" s="229">
        <f t="shared" si="16"/>
        <v>0</v>
      </c>
      <c r="L129" s="229">
        <f t="shared" si="17"/>
        <v>0</v>
      </c>
      <c r="M129" s="229">
        <f t="shared" si="18"/>
        <v>0</v>
      </c>
      <c r="Q129"/>
      <c r="R129" s="39"/>
    </row>
    <row r="130" spans="1:18" x14ac:dyDescent="0.25">
      <c r="A130" s="38"/>
      <c r="B130" s="67" t="str">
        <f>'Frais généraux'!B30</f>
        <v>Charges locatives et de copropriété</v>
      </c>
      <c r="C130" s="109">
        <f>+'Frais généraux'!C30</f>
        <v>0</v>
      </c>
      <c r="D130" s="4">
        <f>+'Frais généraux'!D30</f>
        <v>0</v>
      </c>
      <c r="E130" s="112">
        <f>+'Frais généraux'!E30</f>
        <v>0</v>
      </c>
      <c r="F130" s="113">
        <f>+'Frais généraux'!F30</f>
        <v>0</v>
      </c>
      <c r="G130" s="112">
        <f>+'Frais généraux'!G30</f>
        <v>0</v>
      </c>
      <c r="H130" s="80">
        <f>+'Frais généraux'!H30</f>
        <v>0.2</v>
      </c>
      <c r="I130" s="80" t="str">
        <f>+'Frais généraux'!I30</f>
        <v>Mensuel</v>
      </c>
      <c r="J130" s="107">
        <f>+'Frais généraux'!J30</f>
        <v>0</v>
      </c>
      <c r="K130" s="229">
        <f t="shared" si="16"/>
        <v>0</v>
      </c>
      <c r="L130" s="229">
        <f t="shared" si="17"/>
        <v>0</v>
      </c>
      <c r="M130" s="229">
        <f t="shared" si="18"/>
        <v>0</v>
      </c>
      <c r="Q130"/>
      <c r="R130" s="39"/>
    </row>
    <row r="131" spans="1:18" s="9" customFormat="1" x14ac:dyDescent="0.25">
      <c r="A131" s="61"/>
      <c r="B131" s="67" t="str">
        <f>'Frais généraux'!B31</f>
        <v xml:space="preserve">Entretien et réparations </v>
      </c>
      <c r="C131" s="109">
        <f>+'Frais généraux'!C31</f>
        <v>0</v>
      </c>
      <c r="D131" s="4">
        <f>+'Frais généraux'!D31</f>
        <v>0</v>
      </c>
      <c r="E131" s="112">
        <f>+'Frais généraux'!E31</f>
        <v>0</v>
      </c>
      <c r="F131" s="113">
        <f>+'Frais généraux'!F31</f>
        <v>0</v>
      </c>
      <c r="G131" s="112">
        <f>+'Frais généraux'!G31</f>
        <v>0</v>
      </c>
      <c r="H131" s="80">
        <f>+'Frais généraux'!H31</f>
        <v>0.2</v>
      </c>
      <c r="I131" s="80" t="str">
        <f>+'Frais généraux'!I31</f>
        <v>Mensuel</v>
      </c>
      <c r="J131" s="107">
        <f>+'Frais généraux'!J31</f>
        <v>0</v>
      </c>
      <c r="K131" s="229">
        <f t="shared" si="16"/>
        <v>0</v>
      </c>
      <c r="L131" s="229">
        <f t="shared" si="17"/>
        <v>0</v>
      </c>
      <c r="M131" s="229">
        <f t="shared" si="18"/>
        <v>0</v>
      </c>
      <c r="R131" s="62"/>
    </row>
    <row r="132" spans="1:18" x14ac:dyDescent="0.25">
      <c r="A132" s="38"/>
      <c r="B132" s="67" t="str">
        <f>'Frais généraux'!B32</f>
        <v>Maintenance</v>
      </c>
      <c r="C132" s="109">
        <f>+'Frais généraux'!C32</f>
        <v>0</v>
      </c>
      <c r="D132" s="4">
        <f>+'Frais généraux'!D32</f>
        <v>0</v>
      </c>
      <c r="E132" s="112">
        <f>+'Frais généraux'!E32</f>
        <v>0</v>
      </c>
      <c r="F132" s="113">
        <f>+'Frais généraux'!F32</f>
        <v>0</v>
      </c>
      <c r="G132" s="112">
        <f>+'Frais généraux'!G32</f>
        <v>0</v>
      </c>
      <c r="H132" s="80">
        <f>+'Frais généraux'!H32</f>
        <v>0.2</v>
      </c>
      <c r="I132" s="80" t="str">
        <f>+'Frais généraux'!I32</f>
        <v>Mensuel</v>
      </c>
      <c r="J132" s="107">
        <f>+'Frais généraux'!J32</f>
        <v>0</v>
      </c>
      <c r="K132" s="229">
        <f t="shared" si="16"/>
        <v>0</v>
      </c>
      <c r="L132" s="229">
        <f t="shared" si="17"/>
        <v>0</v>
      </c>
      <c r="M132" s="229">
        <f t="shared" si="18"/>
        <v>0</v>
      </c>
      <c r="Q132"/>
      <c r="R132" s="39"/>
    </row>
    <row r="133" spans="1:18" s="10" customFormat="1" ht="15" customHeight="1" x14ac:dyDescent="0.25">
      <c r="A133" s="65"/>
      <c r="B133" s="67" t="str">
        <f>'Frais généraux'!B33</f>
        <v>Assurances professionnelles</v>
      </c>
      <c r="C133" s="109">
        <f>+'Frais généraux'!C33</f>
        <v>0</v>
      </c>
      <c r="D133" s="4">
        <f>+'Frais généraux'!D33</f>
        <v>0</v>
      </c>
      <c r="E133" s="112">
        <f>+'Frais généraux'!E33</f>
        <v>0</v>
      </c>
      <c r="F133" s="113">
        <f>+'Frais généraux'!F33</f>
        <v>0</v>
      </c>
      <c r="G133" s="112">
        <f>+'Frais généraux'!G33</f>
        <v>0</v>
      </c>
      <c r="H133" s="80">
        <f>+'Frais généraux'!H33</f>
        <v>0.2</v>
      </c>
      <c r="I133" s="80" t="str">
        <f>+'Frais généraux'!I33</f>
        <v>Mensuel</v>
      </c>
      <c r="J133" s="107">
        <f>+'Frais généraux'!J33</f>
        <v>0</v>
      </c>
      <c r="K133" s="229">
        <f t="shared" si="16"/>
        <v>0</v>
      </c>
      <c r="L133" s="229">
        <f t="shared" si="17"/>
        <v>0</v>
      </c>
      <c r="M133" s="229">
        <f t="shared" si="18"/>
        <v>0</v>
      </c>
      <c r="R133" s="66"/>
    </row>
    <row r="134" spans="1:18" x14ac:dyDescent="0.25">
      <c r="A134" s="38"/>
      <c r="B134" s="67" t="str">
        <f>'Frais généraux'!B34</f>
        <v>Etudes et recherches</v>
      </c>
      <c r="C134" s="109">
        <f>+'Frais généraux'!C34</f>
        <v>0</v>
      </c>
      <c r="D134" s="4">
        <f>+'Frais généraux'!D34</f>
        <v>0</v>
      </c>
      <c r="E134" s="112">
        <f>+'Frais généraux'!E34</f>
        <v>0</v>
      </c>
      <c r="F134" s="113">
        <f>+'Frais généraux'!F34</f>
        <v>0</v>
      </c>
      <c r="G134" s="112">
        <f>+'Frais généraux'!G34</f>
        <v>0</v>
      </c>
      <c r="H134" s="80">
        <f>+'Frais généraux'!H34</f>
        <v>0.2</v>
      </c>
      <c r="I134" s="80" t="str">
        <f>+'Frais généraux'!I34</f>
        <v>Mensuel</v>
      </c>
      <c r="J134" s="107">
        <f>+'Frais généraux'!J34</f>
        <v>0</v>
      </c>
      <c r="K134" s="229">
        <f t="shared" si="16"/>
        <v>0</v>
      </c>
      <c r="L134" s="229">
        <f t="shared" si="17"/>
        <v>0</v>
      </c>
      <c r="M134" s="229">
        <f t="shared" si="18"/>
        <v>0</v>
      </c>
      <c r="Q134"/>
      <c r="R134" s="39"/>
    </row>
    <row r="135" spans="1:18" s="9" customFormat="1" x14ac:dyDescent="0.25">
      <c r="A135" s="61"/>
      <c r="B135" s="67" t="str">
        <f>'Frais généraux'!B35</f>
        <v>Documentation générale</v>
      </c>
      <c r="C135" s="109">
        <f>+'Frais généraux'!C35</f>
        <v>0</v>
      </c>
      <c r="D135" s="4">
        <f>+'Frais généraux'!D35</f>
        <v>0</v>
      </c>
      <c r="E135" s="112">
        <f>+'Frais généraux'!E35</f>
        <v>0</v>
      </c>
      <c r="F135" s="113">
        <f>+'Frais généraux'!F35</f>
        <v>0</v>
      </c>
      <c r="G135" s="112">
        <f>+'Frais généraux'!G35</f>
        <v>0</v>
      </c>
      <c r="H135" s="80">
        <f>+'Frais généraux'!H35</f>
        <v>0.2</v>
      </c>
      <c r="I135" s="80" t="str">
        <f>+'Frais généraux'!I35</f>
        <v>Mensuel</v>
      </c>
      <c r="J135" s="107">
        <f>+'Frais généraux'!J35</f>
        <v>0</v>
      </c>
      <c r="K135" s="229">
        <f t="shared" si="16"/>
        <v>0</v>
      </c>
      <c r="L135" s="229">
        <f t="shared" si="17"/>
        <v>0</v>
      </c>
      <c r="M135" s="229">
        <f t="shared" si="18"/>
        <v>0</v>
      </c>
      <c r="R135" s="62"/>
    </row>
    <row r="136" spans="1:18" s="9" customFormat="1" x14ac:dyDescent="0.25">
      <c r="A136" s="61"/>
      <c r="B136" s="67" t="str">
        <f>'Frais généraux'!B36</f>
        <v>Documentation technique</v>
      </c>
      <c r="C136" s="109">
        <f>+'Frais généraux'!C36</f>
        <v>0</v>
      </c>
      <c r="D136" s="4">
        <f>+'Frais généraux'!D36</f>
        <v>0</v>
      </c>
      <c r="E136" s="112">
        <f>+'Frais généraux'!E36</f>
        <v>0</v>
      </c>
      <c r="F136" s="113">
        <f>+'Frais généraux'!F36</f>
        <v>0</v>
      </c>
      <c r="G136" s="112">
        <f>+'Frais généraux'!G36</f>
        <v>0</v>
      </c>
      <c r="H136" s="80">
        <f>+'Frais généraux'!H36</f>
        <v>0.2</v>
      </c>
      <c r="I136" s="80" t="str">
        <f>+'Frais généraux'!I36</f>
        <v>Mensuel</v>
      </c>
      <c r="J136" s="107">
        <f>+'Frais généraux'!J36</f>
        <v>0</v>
      </c>
      <c r="K136" s="229">
        <f t="shared" si="16"/>
        <v>0</v>
      </c>
      <c r="L136" s="229">
        <f t="shared" si="17"/>
        <v>0</v>
      </c>
      <c r="M136" s="229">
        <f t="shared" si="18"/>
        <v>0</v>
      </c>
      <c r="R136" s="62"/>
    </row>
    <row r="137" spans="1:18" s="9" customFormat="1" x14ac:dyDescent="0.25">
      <c r="A137" s="61"/>
      <c r="B137" s="67" t="str">
        <f>'Frais généraux'!B37</f>
        <v>Frais de colloques, séminaires, conférences</v>
      </c>
      <c r="C137" s="109">
        <f>+'Frais généraux'!C37</f>
        <v>0</v>
      </c>
      <c r="D137" s="4">
        <f>+'Frais généraux'!D37</f>
        <v>0</v>
      </c>
      <c r="E137" s="112">
        <f>+'Frais généraux'!E37</f>
        <v>0</v>
      </c>
      <c r="F137" s="113">
        <f>+'Frais généraux'!F37</f>
        <v>0</v>
      </c>
      <c r="G137" s="112">
        <f>+'Frais généraux'!G37</f>
        <v>0</v>
      </c>
      <c r="H137" s="80">
        <f>+'Frais généraux'!H37</f>
        <v>0.2</v>
      </c>
      <c r="I137" s="80" t="str">
        <f>+'Frais généraux'!I37</f>
        <v>Mensuel</v>
      </c>
      <c r="J137" s="107">
        <f>+'Frais généraux'!J37</f>
        <v>0</v>
      </c>
      <c r="K137" s="229">
        <f t="shared" si="16"/>
        <v>0</v>
      </c>
      <c r="L137" s="229">
        <f t="shared" si="17"/>
        <v>0</v>
      </c>
      <c r="M137" s="229">
        <f t="shared" si="18"/>
        <v>0</v>
      </c>
      <c r="R137" s="62"/>
    </row>
    <row r="138" spans="1:18" s="9" customFormat="1" x14ac:dyDescent="0.25">
      <c r="A138" s="61"/>
      <c r="B138" s="67" t="str">
        <f>'Frais généraux'!B38</f>
        <v>Personnel intérimaire</v>
      </c>
      <c r="C138" s="109">
        <f>+'Frais généraux'!C38</f>
        <v>0</v>
      </c>
      <c r="D138" s="4">
        <f>+'Frais généraux'!D38</f>
        <v>0</v>
      </c>
      <c r="E138" s="112">
        <f>+'Frais généraux'!E38</f>
        <v>0</v>
      </c>
      <c r="F138" s="113">
        <f>+'Frais généraux'!F38</f>
        <v>0</v>
      </c>
      <c r="G138" s="112">
        <f>+'Frais généraux'!G38</f>
        <v>0</v>
      </c>
      <c r="H138" s="80">
        <f>+'Frais généraux'!H38</f>
        <v>0.2</v>
      </c>
      <c r="I138" s="80" t="str">
        <f>+'Frais généraux'!I38</f>
        <v>Mensuel</v>
      </c>
      <c r="J138" s="107">
        <f>+'Frais généraux'!J38</f>
        <v>0</v>
      </c>
      <c r="K138" s="229">
        <f t="shared" si="16"/>
        <v>0</v>
      </c>
      <c r="L138" s="229">
        <f t="shared" si="17"/>
        <v>0</v>
      </c>
      <c r="M138" s="229">
        <f t="shared" si="18"/>
        <v>0</v>
      </c>
      <c r="R138" s="62"/>
    </row>
    <row r="139" spans="1:18" s="9" customFormat="1" x14ac:dyDescent="0.25">
      <c r="A139" s="61"/>
      <c r="B139" s="67" t="str">
        <f>'Frais généraux'!B39</f>
        <v>Personnel détaché ou prêté à l'entreprise</v>
      </c>
      <c r="C139" s="109">
        <f>+'Frais généraux'!C39</f>
        <v>0</v>
      </c>
      <c r="D139" s="4">
        <f>+'Frais généraux'!D39</f>
        <v>0</v>
      </c>
      <c r="E139" s="112">
        <f>+'Frais généraux'!E39</f>
        <v>0</v>
      </c>
      <c r="F139" s="113">
        <f>+'Frais généraux'!F39</f>
        <v>0</v>
      </c>
      <c r="G139" s="112">
        <f>+'Frais généraux'!G39</f>
        <v>0</v>
      </c>
      <c r="H139" s="80">
        <f>+'Frais généraux'!H39</f>
        <v>0.2</v>
      </c>
      <c r="I139" s="80" t="str">
        <f>+'Frais généraux'!I39</f>
        <v>Mensuel</v>
      </c>
      <c r="J139" s="107">
        <f>+'Frais généraux'!J39</f>
        <v>0</v>
      </c>
      <c r="K139" s="229">
        <f t="shared" si="16"/>
        <v>0</v>
      </c>
      <c r="L139" s="229">
        <f t="shared" si="17"/>
        <v>0</v>
      </c>
      <c r="M139" s="229">
        <f t="shared" si="18"/>
        <v>0</v>
      </c>
      <c r="R139" s="62"/>
    </row>
    <row r="140" spans="1:18" s="9" customFormat="1" x14ac:dyDescent="0.25">
      <c r="A140" s="61"/>
      <c r="B140" s="67" t="str">
        <f>'Frais généraux'!B40</f>
        <v>Commissions et courtages sur achats</v>
      </c>
      <c r="C140" s="109">
        <f>+'Frais généraux'!C40</f>
        <v>0</v>
      </c>
      <c r="D140" s="4">
        <f>+'Frais généraux'!D40</f>
        <v>0</v>
      </c>
      <c r="E140" s="112">
        <f>+'Frais généraux'!E40</f>
        <v>0</v>
      </c>
      <c r="F140" s="113">
        <f>+'Frais généraux'!F40</f>
        <v>0</v>
      </c>
      <c r="G140" s="112">
        <f>+'Frais généraux'!G40</f>
        <v>0</v>
      </c>
      <c r="H140" s="80">
        <f>+'Frais généraux'!H40</f>
        <v>0.2</v>
      </c>
      <c r="I140" s="80" t="str">
        <f>+'Frais généraux'!I40</f>
        <v>Mensuel</v>
      </c>
      <c r="J140" s="107">
        <f>+'Frais généraux'!J40</f>
        <v>0</v>
      </c>
      <c r="K140" s="229">
        <f t="shared" si="16"/>
        <v>0</v>
      </c>
      <c r="L140" s="229">
        <f t="shared" si="17"/>
        <v>0</v>
      </c>
      <c r="M140" s="229">
        <f t="shared" si="18"/>
        <v>0</v>
      </c>
      <c r="R140" s="62"/>
    </row>
    <row r="141" spans="1:18" s="9" customFormat="1" x14ac:dyDescent="0.25">
      <c r="A141" s="61"/>
      <c r="B141" s="67" t="str">
        <f>'Frais généraux'!B41</f>
        <v>Commissions et courtages sur ventes</v>
      </c>
      <c r="C141" s="109">
        <f>+'Frais généraux'!C41</f>
        <v>0</v>
      </c>
      <c r="D141" s="4">
        <f>+'Frais généraux'!D41</f>
        <v>0</v>
      </c>
      <c r="E141" s="112">
        <f>+'Frais généraux'!E41</f>
        <v>0</v>
      </c>
      <c r="F141" s="113">
        <f>+'Frais généraux'!F41</f>
        <v>0</v>
      </c>
      <c r="G141" s="112">
        <f>+'Frais généraux'!G41</f>
        <v>0</v>
      </c>
      <c r="H141" s="80">
        <f>+'Frais généraux'!H41</f>
        <v>0.2</v>
      </c>
      <c r="I141" s="80" t="str">
        <f>+'Frais généraux'!I41</f>
        <v>Mensuel</v>
      </c>
      <c r="J141" s="107">
        <f>+'Frais généraux'!J41</f>
        <v>0</v>
      </c>
      <c r="K141" s="229">
        <f t="shared" si="16"/>
        <v>0</v>
      </c>
      <c r="L141" s="229">
        <f t="shared" si="17"/>
        <v>0</v>
      </c>
      <c r="M141" s="229">
        <f t="shared" si="18"/>
        <v>0</v>
      </c>
      <c r="R141" s="62"/>
    </row>
    <row r="142" spans="1:18" s="9" customFormat="1" x14ac:dyDescent="0.25">
      <c r="A142" s="61"/>
      <c r="B142" s="67" t="str">
        <f>'Frais généraux'!B42</f>
        <v>Rémunérations des transitaires</v>
      </c>
      <c r="C142" s="109">
        <f>+'Frais généraux'!C42</f>
        <v>0</v>
      </c>
      <c r="D142" s="4">
        <f>+'Frais généraux'!D42</f>
        <v>0</v>
      </c>
      <c r="E142" s="112">
        <f>+'Frais généraux'!E42</f>
        <v>0</v>
      </c>
      <c r="F142" s="113">
        <f>+'Frais généraux'!F42</f>
        <v>0</v>
      </c>
      <c r="G142" s="112">
        <f>+'Frais généraux'!G42</f>
        <v>0</v>
      </c>
      <c r="H142" s="80">
        <f>+'Frais généraux'!H42</f>
        <v>0.2</v>
      </c>
      <c r="I142" s="80" t="str">
        <f>+'Frais généraux'!I42</f>
        <v>Mensuel</v>
      </c>
      <c r="J142" s="107">
        <f>+'Frais généraux'!J42</f>
        <v>0</v>
      </c>
      <c r="K142" s="229">
        <f t="shared" si="16"/>
        <v>0</v>
      </c>
      <c r="L142" s="229">
        <f t="shared" si="17"/>
        <v>0</v>
      </c>
      <c r="M142" s="229">
        <f t="shared" si="18"/>
        <v>0</v>
      </c>
      <c r="R142" s="62"/>
    </row>
    <row r="143" spans="1:18" s="9" customFormat="1" x14ac:dyDescent="0.25">
      <c r="A143" s="61"/>
      <c r="B143" s="67" t="str">
        <f>'Frais généraux'!B43</f>
        <v>Rémunérations d'affacturage</v>
      </c>
      <c r="C143" s="109">
        <f>+'Frais généraux'!C43</f>
        <v>0</v>
      </c>
      <c r="D143" s="4">
        <f>+'Frais généraux'!D43</f>
        <v>0</v>
      </c>
      <c r="E143" s="112">
        <f>+'Frais généraux'!E43</f>
        <v>0</v>
      </c>
      <c r="F143" s="113">
        <f>+'Frais généraux'!F43</f>
        <v>0</v>
      </c>
      <c r="G143" s="112">
        <f>+'Frais généraux'!G43</f>
        <v>0</v>
      </c>
      <c r="H143" s="80">
        <f>+'Frais généraux'!H43</f>
        <v>0.2</v>
      </c>
      <c r="I143" s="80" t="str">
        <f>+'Frais généraux'!I43</f>
        <v>Mensuel</v>
      </c>
      <c r="J143" s="107">
        <f>+'Frais généraux'!J43</f>
        <v>0</v>
      </c>
      <c r="K143" s="229">
        <f t="shared" si="16"/>
        <v>0</v>
      </c>
      <c r="L143" s="229">
        <f t="shared" si="17"/>
        <v>0</v>
      </c>
      <c r="M143" s="229">
        <f t="shared" si="18"/>
        <v>0</v>
      </c>
      <c r="R143" s="62"/>
    </row>
    <row r="144" spans="1:18" s="9" customFormat="1" x14ac:dyDescent="0.25">
      <c r="A144" s="61"/>
      <c r="B144" s="67" t="str">
        <f>'Frais généraux'!B44</f>
        <v>Frais de comptabilité</v>
      </c>
      <c r="C144" s="109">
        <f>+'Frais généraux'!C44</f>
        <v>0</v>
      </c>
      <c r="D144" s="4">
        <f>+'Frais généraux'!D44</f>
        <v>0</v>
      </c>
      <c r="E144" s="112">
        <f>+'Frais généraux'!E44</f>
        <v>0</v>
      </c>
      <c r="F144" s="113">
        <f>+'Frais généraux'!F44</f>
        <v>0</v>
      </c>
      <c r="G144" s="112">
        <f>+'Frais généraux'!G44</f>
        <v>0</v>
      </c>
      <c r="H144" s="80">
        <f>+'Frais généraux'!H44</f>
        <v>0.2</v>
      </c>
      <c r="I144" s="80" t="str">
        <f>+'Frais généraux'!I44</f>
        <v>Mensuel</v>
      </c>
      <c r="J144" s="107">
        <f>+'Frais généraux'!J44</f>
        <v>0</v>
      </c>
      <c r="K144" s="229">
        <f t="shared" si="16"/>
        <v>0</v>
      </c>
      <c r="L144" s="229">
        <f t="shared" si="17"/>
        <v>0</v>
      </c>
      <c r="M144" s="229">
        <f t="shared" si="18"/>
        <v>0</v>
      </c>
      <c r="R144" s="62"/>
    </row>
    <row r="145" spans="1:18" s="9" customFormat="1" x14ac:dyDescent="0.25">
      <c r="A145" s="61"/>
      <c r="B145" s="67" t="str">
        <f>'Frais généraux'!B45</f>
        <v>Frais juridiques</v>
      </c>
      <c r="C145" s="109">
        <f>+'Frais généraux'!C45</f>
        <v>0</v>
      </c>
      <c r="D145" s="4">
        <f>+'Frais généraux'!D45</f>
        <v>0</v>
      </c>
      <c r="E145" s="112">
        <f>+'Frais généraux'!E45</f>
        <v>0</v>
      </c>
      <c r="F145" s="113">
        <f>+'Frais généraux'!F45</f>
        <v>0</v>
      </c>
      <c r="G145" s="112">
        <f>+'Frais généraux'!G45</f>
        <v>0</v>
      </c>
      <c r="H145" s="80">
        <f>+'Frais généraux'!H45</f>
        <v>0.2</v>
      </c>
      <c r="I145" s="80" t="str">
        <f>+'Frais généraux'!I45</f>
        <v>Mensuel</v>
      </c>
      <c r="J145" s="107">
        <f>+'Frais généraux'!J45</f>
        <v>0</v>
      </c>
      <c r="K145" s="229">
        <f t="shared" si="16"/>
        <v>0</v>
      </c>
      <c r="L145" s="229">
        <f t="shared" si="17"/>
        <v>0</v>
      </c>
      <c r="M145" s="229">
        <f t="shared" si="18"/>
        <v>0</v>
      </c>
      <c r="R145" s="62"/>
    </row>
    <row r="146" spans="1:18" x14ac:dyDescent="0.25">
      <c r="A146" s="38"/>
      <c r="B146" s="67" t="str">
        <f>'Frais généraux'!B46</f>
        <v>Frais d'actes et de contentieux</v>
      </c>
      <c r="C146" s="109">
        <f>+'Frais généraux'!C46</f>
        <v>0</v>
      </c>
      <c r="D146" s="4">
        <f>+'Frais généraux'!D46</f>
        <v>0</v>
      </c>
      <c r="E146" s="112">
        <f>+'Frais généraux'!E46</f>
        <v>0</v>
      </c>
      <c r="F146" s="113">
        <f>+'Frais généraux'!F46</f>
        <v>0</v>
      </c>
      <c r="G146" s="112">
        <f>+'Frais généraux'!G46</f>
        <v>0</v>
      </c>
      <c r="H146" s="80">
        <f>+'Frais généraux'!H46</f>
        <v>0.2</v>
      </c>
      <c r="I146" s="80" t="str">
        <f>+'Frais généraux'!I46</f>
        <v>Mensuel</v>
      </c>
      <c r="J146" s="107">
        <f>+'Frais généraux'!J46</f>
        <v>0</v>
      </c>
      <c r="K146" s="229">
        <f t="shared" si="16"/>
        <v>0</v>
      </c>
      <c r="L146" s="229">
        <f t="shared" si="17"/>
        <v>0</v>
      </c>
      <c r="M146" s="229">
        <f t="shared" si="18"/>
        <v>0</v>
      </c>
      <c r="Q146"/>
      <c r="R146" s="39"/>
    </row>
    <row r="147" spans="1:18" x14ac:dyDescent="0.25">
      <c r="A147" s="38"/>
      <c r="B147" s="67" t="str">
        <f>'Frais généraux'!B47</f>
        <v>Divers</v>
      </c>
      <c r="C147" s="109">
        <f>+'Frais généraux'!C47</f>
        <v>0</v>
      </c>
      <c r="D147" s="4">
        <f>+'Frais généraux'!D47</f>
        <v>0</v>
      </c>
      <c r="E147" s="112">
        <f>+'Frais généraux'!E47</f>
        <v>0</v>
      </c>
      <c r="F147" s="113">
        <f>+'Frais généraux'!F47</f>
        <v>0</v>
      </c>
      <c r="G147" s="112">
        <f>+'Frais généraux'!G47</f>
        <v>0</v>
      </c>
      <c r="H147" s="80">
        <f>+'Frais généraux'!H47</f>
        <v>0.2</v>
      </c>
      <c r="I147" s="80" t="str">
        <f>+'Frais généraux'!I47</f>
        <v>Mensuel</v>
      </c>
      <c r="J147" s="107">
        <f>+'Frais généraux'!J47</f>
        <v>0</v>
      </c>
      <c r="K147" s="229">
        <f t="shared" si="16"/>
        <v>0</v>
      </c>
      <c r="L147" s="229">
        <f t="shared" si="17"/>
        <v>0</v>
      </c>
      <c r="M147" s="229">
        <f t="shared" si="18"/>
        <v>0</v>
      </c>
      <c r="Q147"/>
      <c r="R147" s="39"/>
    </row>
    <row r="148" spans="1:18" x14ac:dyDescent="0.25">
      <c r="A148" s="38"/>
      <c r="B148" s="67" t="str">
        <f>'Frais généraux'!B48</f>
        <v>Annonces et insertions</v>
      </c>
      <c r="C148" s="109">
        <f>+'Frais généraux'!C48</f>
        <v>0</v>
      </c>
      <c r="D148" s="4">
        <f>+'Frais généraux'!D48</f>
        <v>0</v>
      </c>
      <c r="E148" s="112">
        <f>+'Frais généraux'!E48</f>
        <v>0</v>
      </c>
      <c r="F148" s="113">
        <f>+'Frais généraux'!F48</f>
        <v>0</v>
      </c>
      <c r="G148" s="112">
        <f>+'Frais généraux'!G48</f>
        <v>0</v>
      </c>
      <c r="H148" s="80">
        <f>+'Frais généraux'!H48</f>
        <v>0.2</v>
      </c>
      <c r="I148" s="80" t="str">
        <f>+'Frais généraux'!I48</f>
        <v>Mensuel</v>
      </c>
      <c r="J148" s="107">
        <f>+'Frais généraux'!J48</f>
        <v>0</v>
      </c>
      <c r="K148" s="229">
        <f t="shared" si="16"/>
        <v>0</v>
      </c>
      <c r="L148" s="229">
        <f t="shared" si="17"/>
        <v>0</v>
      </c>
      <c r="M148" s="229">
        <f t="shared" si="18"/>
        <v>0</v>
      </c>
      <c r="Q148"/>
      <c r="R148" s="39"/>
    </row>
    <row r="149" spans="1:18" x14ac:dyDescent="0.25">
      <c r="A149" s="38"/>
      <c r="B149" s="67" t="str">
        <f>'Frais généraux'!B49</f>
        <v>Cadeaux à la clientèle</v>
      </c>
      <c r="C149" s="109">
        <f>+'Frais généraux'!C49</f>
        <v>0</v>
      </c>
      <c r="D149" s="4">
        <f>+'Frais généraux'!D49</f>
        <v>0</v>
      </c>
      <c r="E149" s="112">
        <f>+'Frais généraux'!E49</f>
        <v>0</v>
      </c>
      <c r="F149" s="113">
        <f>+'Frais généraux'!F49</f>
        <v>0</v>
      </c>
      <c r="G149" s="112">
        <f>+'Frais généraux'!G49</f>
        <v>0</v>
      </c>
      <c r="H149" s="80">
        <f>+'Frais généraux'!H49</f>
        <v>0.2</v>
      </c>
      <c r="I149" s="80" t="str">
        <f>+'Frais généraux'!I49</f>
        <v>Mensuel</v>
      </c>
      <c r="J149" s="107">
        <f>+'Frais généraux'!J49</f>
        <v>0</v>
      </c>
      <c r="K149" s="229">
        <f t="shared" si="16"/>
        <v>0</v>
      </c>
      <c r="L149" s="229">
        <f t="shared" si="17"/>
        <v>0</v>
      </c>
      <c r="M149" s="229">
        <f t="shared" si="18"/>
        <v>0</v>
      </c>
      <c r="Q149"/>
      <c r="R149" s="39"/>
    </row>
    <row r="150" spans="1:18" x14ac:dyDescent="0.25">
      <c r="A150" s="38"/>
      <c r="B150" s="67" t="str">
        <f>'Frais généraux'!B50</f>
        <v>Catalogues et imprimés</v>
      </c>
      <c r="C150" s="109">
        <f>+'Frais généraux'!C50</f>
        <v>0</v>
      </c>
      <c r="D150" s="4">
        <f>+'Frais généraux'!D50</f>
        <v>0</v>
      </c>
      <c r="E150" s="112">
        <f>+'Frais généraux'!E50</f>
        <v>0</v>
      </c>
      <c r="F150" s="113">
        <f>+'Frais généraux'!F50</f>
        <v>0</v>
      </c>
      <c r="G150" s="112">
        <f>+'Frais généraux'!G50</f>
        <v>0</v>
      </c>
      <c r="H150" s="80">
        <f>+'Frais généraux'!H50</f>
        <v>0.2</v>
      </c>
      <c r="I150" s="80" t="str">
        <f>+'Frais généraux'!I50</f>
        <v>Mensuel</v>
      </c>
      <c r="J150" s="107">
        <f>+'Frais généraux'!J50</f>
        <v>0</v>
      </c>
      <c r="K150" s="229">
        <f t="shared" si="16"/>
        <v>0</v>
      </c>
      <c r="L150" s="229">
        <f t="shared" si="17"/>
        <v>0</v>
      </c>
      <c r="M150" s="229">
        <f t="shared" si="18"/>
        <v>0</v>
      </c>
      <c r="Q150"/>
      <c r="R150" s="39"/>
    </row>
    <row r="151" spans="1:18" x14ac:dyDescent="0.25">
      <c r="A151" s="38"/>
      <c r="B151" s="67" t="str">
        <f>'Frais généraux'!B51</f>
        <v>Publications</v>
      </c>
      <c r="C151" s="109">
        <f>+'Frais généraux'!C51</f>
        <v>0</v>
      </c>
      <c r="D151" s="4">
        <f>+'Frais généraux'!D51</f>
        <v>0</v>
      </c>
      <c r="E151" s="112">
        <f>+'Frais généraux'!E51</f>
        <v>0</v>
      </c>
      <c r="F151" s="113">
        <f>+'Frais généraux'!F51</f>
        <v>0</v>
      </c>
      <c r="G151" s="112">
        <f>+'Frais généraux'!G51</f>
        <v>0</v>
      </c>
      <c r="H151" s="80">
        <f>+'Frais généraux'!H51</f>
        <v>0.2</v>
      </c>
      <c r="I151" s="80" t="str">
        <f>+'Frais généraux'!I51</f>
        <v>Mensuel</v>
      </c>
      <c r="J151" s="107">
        <f>+'Frais généraux'!J51</f>
        <v>0</v>
      </c>
      <c r="K151" s="229">
        <f t="shared" si="16"/>
        <v>0</v>
      </c>
      <c r="L151" s="229">
        <f t="shared" si="17"/>
        <v>0</v>
      </c>
      <c r="M151" s="229">
        <f t="shared" si="18"/>
        <v>0</v>
      </c>
      <c r="Q151"/>
      <c r="R151" s="39"/>
    </row>
    <row r="152" spans="1:18" s="9" customFormat="1" x14ac:dyDescent="0.25">
      <c r="A152" s="61"/>
      <c r="B152" s="67" t="str">
        <f>'Frais généraux'!B52</f>
        <v>Frais de transports sur achats</v>
      </c>
      <c r="C152" s="109">
        <f>+'Frais généraux'!C52</f>
        <v>0</v>
      </c>
      <c r="D152" s="4">
        <f>+'Frais généraux'!D52</f>
        <v>0</v>
      </c>
      <c r="E152" s="112">
        <f>+'Frais généraux'!E52</f>
        <v>0</v>
      </c>
      <c r="F152" s="113">
        <f>+'Frais généraux'!F52</f>
        <v>0</v>
      </c>
      <c r="G152" s="112">
        <f>+'Frais généraux'!G52</f>
        <v>0</v>
      </c>
      <c r="H152" s="80">
        <f>+'Frais généraux'!H52</f>
        <v>0.2</v>
      </c>
      <c r="I152" s="80" t="str">
        <f>+'Frais généraux'!I52</f>
        <v>Mensuel</v>
      </c>
      <c r="J152" s="107">
        <f>+'Frais généraux'!J52</f>
        <v>0</v>
      </c>
      <c r="K152" s="229">
        <f t="shared" si="16"/>
        <v>0</v>
      </c>
      <c r="L152" s="229">
        <f t="shared" si="17"/>
        <v>0</v>
      </c>
      <c r="M152" s="229">
        <f t="shared" si="18"/>
        <v>0</v>
      </c>
      <c r="R152" s="62"/>
    </row>
    <row r="153" spans="1:18" s="9" customFormat="1" x14ac:dyDescent="0.25">
      <c r="A153" s="61"/>
      <c r="B153" s="67" t="str">
        <f>'Frais généraux'!B53</f>
        <v>Frais de transports sur ventes</v>
      </c>
      <c r="C153" s="109">
        <f>+'Frais généraux'!C53</f>
        <v>0</v>
      </c>
      <c r="D153" s="4">
        <f>+'Frais généraux'!D53</f>
        <v>0</v>
      </c>
      <c r="E153" s="112">
        <f>+'Frais généraux'!E53</f>
        <v>0</v>
      </c>
      <c r="F153" s="113">
        <f>+'Frais généraux'!F53</f>
        <v>0</v>
      </c>
      <c r="G153" s="112">
        <f>+'Frais généraux'!G53</f>
        <v>0</v>
      </c>
      <c r="H153" s="80">
        <f>+'Frais généraux'!H53</f>
        <v>0.2</v>
      </c>
      <c r="I153" s="80" t="str">
        <f>+'Frais généraux'!I53</f>
        <v>Mensuel</v>
      </c>
      <c r="J153" s="107">
        <f>+'Frais généraux'!J53</f>
        <v>0</v>
      </c>
      <c r="K153" s="229">
        <f t="shared" si="16"/>
        <v>0</v>
      </c>
      <c r="L153" s="229">
        <f t="shared" si="17"/>
        <v>0</v>
      </c>
      <c r="M153" s="229">
        <f t="shared" si="18"/>
        <v>0</v>
      </c>
      <c r="R153" s="62"/>
    </row>
    <row r="154" spans="1:18" s="9" customFormat="1" x14ac:dyDescent="0.25">
      <c r="A154" s="61"/>
      <c r="B154" s="67" t="str">
        <f>'Frais généraux'!B54</f>
        <v>Voyages et déplacements</v>
      </c>
      <c r="C154" s="109">
        <f>+'Frais généraux'!C54</f>
        <v>0</v>
      </c>
      <c r="D154" s="4">
        <f>+'Frais généraux'!D54</f>
        <v>0</v>
      </c>
      <c r="E154" s="112">
        <f>+'Frais généraux'!E54</f>
        <v>0</v>
      </c>
      <c r="F154" s="113">
        <f>+'Frais généraux'!F54</f>
        <v>0</v>
      </c>
      <c r="G154" s="112">
        <f>+'Frais généraux'!G54</f>
        <v>0</v>
      </c>
      <c r="H154" s="80">
        <f>+'Frais généraux'!H54</f>
        <v>0.2</v>
      </c>
      <c r="I154" s="80" t="str">
        <f>+'Frais généraux'!I54</f>
        <v>Mensuel</v>
      </c>
      <c r="J154" s="107">
        <f>+'Frais généraux'!J54</f>
        <v>0</v>
      </c>
      <c r="K154" s="229">
        <f t="shared" si="16"/>
        <v>0</v>
      </c>
      <c r="L154" s="229">
        <f t="shared" si="17"/>
        <v>0</v>
      </c>
      <c r="M154" s="229">
        <f t="shared" si="18"/>
        <v>0</v>
      </c>
      <c r="R154" s="62"/>
    </row>
    <row r="155" spans="1:18" s="9" customFormat="1" x14ac:dyDescent="0.25">
      <c r="A155" s="61"/>
      <c r="B155" s="67" t="str">
        <f>'Frais généraux'!B55</f>
        <v>Missions</v>
      </c>
      <c r="C155" s="109">
        <f>+'Frais généraux'!C55</f>
        <v>0</v>
      </c>
      <c r="D155" s="4">
        <f>+'Frais généraux'!D55</f>
        <v>0</v>
      </c>
      <c r="E155" s="112">
        <f>+'Frais généraux'!E55</f>
        <v>0</v>
      </c>
      <c r="F155" s="113">
        <f>+'Frais généraux'!F55</f>
        <v>0</v>
      </c>
      <c r="G155" s="112">
        <f>+'Frais généraux'!G55</f>
        <v>0</v>
      </c>
      <c r="H155" s="80">
        <f>+'Frais généraux'!H55</f>
        <v>0.2</v>
      </c>
      <c r="I155" s="80" t="str">
        <f>+'Frais généraux'!I55</f>
        <v>Mensuel</v>
      </c>
      <c r="J155" s="107">
        <f>+'Frais généraux'!J55</f>
        <v>0</v>
      </c>
      <c r="K155" s="229">
        <f t="shared" si="16"/>
        <v>0</v>
      </c>
      <c r="L155" s="229">
        <f t="shared" si="17"/>
        <v>0</v>
      </c>
      <c r="M155" s="229">
        <f t="shared" si="18"/>
        <v>0</v>
      </c>
      <c r="R155" s="62"/>
    </row>
    <row r="156" spans="1:18" s="9" customFormat="1" x14ac:dyDescent="0.25">
      <c r="A156" s="61"/>
      <c r="B156" s="67" t="str">
        <f>'Frais généraux'!B56</f>
        <v>Réceptions</v>
      </c>
      <c r="C156" s="109">
        <f>+'Frais généraux'!C56</f>
        <v>0</v>
      </c>
      <c r="D156" s="4">
        <f>+'Frais généraux'!D56</f>
        <v>0</v>
      </c>
      <c r="E156" s="112">
        <f>+'Frais généraux'!E56</f>
        <v>0</v>
      </c>
      <c r="F156" s="113">
        <f>+'Frais généraux'!F56</f>
        <v>0</v>
      </c>
      <c r="G156" s="112">
        <f>+'Frais généraux'!G56</f>
        <v>0</v>
      </c>
      <c r="H156" s="80">
        <f>+'Frais généraux'!H56</f>
        <v>0.2</v>
      </c>
      <c r="I156" s="80" t="str">
        <f>+'Frais généraux'!I56</f>
        <v>Mensuel</v>
      </c>
      <c r="J156" s="107">
        <f>+'Frais généraux'!J56</f>
        <v>0</v>
      </c>
      <c r="K156" s="229">
        <f t="shared" si="16"/>
        <v>0</v>
      </c>
      <c r="L156" s="229">
        <f t="shared" si="17"/>
        <v>0</v>
      </c>
      <c r="M156" s="229">
        <f t="shared" si="18"/>
        <v>0</v>
      </c>
      <c r="R156" s="62"/>
    </row>
    <row r="157" spans="1:18" s="9" customFormat="1" x14ac:dyDescent="0.25">
      <c r="A157" s="61"/>
      <c r="B157" s="67" t="str">
        <f>'Frais généraux'!B57</f>
        <v>Frais postaux</v>
      </c>
      <c r="C157" s="109">
        <f>+'Frais généraux'!C57</f>
        <v>0</v>
      </c>
      <c r="D157" s="4">
        <f>+'Frais généraux'!D57</f>
        <v>0</v>
      </c>
      <c r="E157" s="112">
        <f>+'Frais généraux'!E57</f>
        <v>0</v>
      </c>
      <c r="F157" s="113">
        <f>+'Frais généraux'!F57</f>
        <v>0</v>
      </c>
      <c r="G157" s="112">
        <f>+'Frais généraux'!G57</f>
        <v>0</v>
      </c>
      <c r="H157" s="80">
        <f>+'Frais généraux'!H57</f>
        <v>0.2</v>
      </c>
      <c r="I157" s="80" t="str">
        <f>+'Frais généraux'!I57</f>
        <v>Mensuel</v>
      </c>
      <c r="J157" s="107">
        <f>+'Frais généraux'!J57</f>
        <v>0</v>
      </c>
      <c r="K157" s="229">
        <f t="shared" si="16"/>
        <v>0</v>
      </c>
      <c r="L157" s="229">
        <f t="shared" si="17"/>
        <v>0</v>
      </c>
      <c r="M157" s="229">
        <f t="shared" si="18"/>
        <v>0</v>
      </c>
      <c r="R157" s="62"/>
    </row>
    <row r="158" spans="1:18" s="9" customFormat="1" x14ac:dyDescent="0.25">
      <c r="A158" s="61"/>
      <c r="B158" s="67" t="str">
        <f>'Frais généraux'!B58</f>
        <v>Frais télécommunications</v>
      </c>
      <c r="C158" s="109">
        <f>+'Frais généraux'!C58</f>
        <v>0</v>
      </c>
      <c r="D158" s="4">
        <f>+'Frais généraux'!D58</f>
        <v>0</v>
      </c>
      <c r="E158" s="112">
        <f>+'Frais généraux'!E58</f>
        <v>0</v>
      </c>
      <c r="F158" s="113">
        <f>+'Frais généraux'!F58</f>
        <v>0</v>
      </c>
      <c r="G158" s="112">
        <f>+'Frais généraux'!G58</f>
        <v>0</v>
      </c>
      <c r="H158" s="80">
        <f>+'Frais généraux'!H58</f>
        <v>0.2</v>
      </c>
      <c r="I158" s="80" t="str">
        <f>+'Frais généraux'!I58</f>
        <v>Mensuel</v>
      </c>
      <c r="J158" s="107">
        <f>+'Frais généraux'!J58</f>
        <v>0</v>
      </c>
      <c r="K158" s="229">
        <f t="shared" si="16"/>
        <v>0</v>
      </c>
      <c r="L158" s="229">
        <f t="shared" si="17"/>
        <v>0</v>
      </c>
      <c r="M158" s="229">
        <f t="shared" si="18"/>
        <v>0</v>
      </c>
      <c r="R158" s="62"/>
    </row>
    <row r="159" spans="1:18" x14ac:dyDescent="0.25">
      <c r="A159" s="38"/>
      <c r="B159" s="67" t="str">
        <f>'Frais généraux'!B59</f>
        <v>Services bancaires et assimilés</v>
      </c>
      <c r="C159" s="109">
        <f>+'Frais généraux'!C59</f>
        <v>0</v>
      </c>
      <c r="D159" s="4">
        <f>+'Frais généraux'!D59</f>
        <v>0</v>
      </c>
      <c r="E159" s="112">
        <f>+'Frais généraux'!E59</f>
        <v>0</v>
      </c>
      <c r="F159" s="113">
        <f>+'Frais généraux'!F59</f>
        <v>0</v>
      </c>
      <c r="G159" s="112">
        <f>+'Frais généraux'!G59</f>
        <v>0</v>
      </c>
      <c r="H159" s="80">
        <f>+'Frais généraux'!H59</f>
        <v>0.2</v>
      </c>
      <c r="I159" s="80" t="str">
        <f>+'Frais généraux'!I59</f>
        <v>Mensuel</v>
      </c>
      <c r="J159" s="107">
        <f>+'Frais généraux'!J59</f>
        <v>0</v>
      </c>
      <c r="K159" s="229">
        <f t="shared" si="16"/>
        <v>0</v>
      </c>
      <c r="L159" s="229">
        <f t="shared" si="17"/>
        <v>0</v>
      </c>
      <c r="M159" s="229">
        <f t="shared" si="18"/>
        <v>0</v>
      </c>
      <c r="Q159"/>
      <c r="R159" s="39"/>
    </row>
    <row r="160" spans="1:18" x14ac:dyDescent="0.25">
      <c r="A160" s="38"/>
      <c r="B160" s="67" t="str">
        <f>'Frais généraux'!B60</f>
        <v>(ajouter)</v>
      </c>
      <c r="C160" s="109">
        <f>+'Frais généraux'!C60</f>
        <v>0</v>
      </c>
      <c r="D160" s="4">
        <f>+'Frais généraux'!D60</f>
        <v>0</v>
      </c>
      <c r="E160" s="112">
        <f>+'Frais généraux'!E60</f>
        <v>0</v>
      </c>
      <c r="F160" s="113">
        <f>+'Frais généraux'!F60</f>
        <v>0</v>
      </c>
      <c r="G160" s="112">
        <f>+'Frais généraux'!G60</f>
        <v>0</v>
      </c>
      <c r="H160" s="80">
        <f>+'Frais généraux'!H60</f>
        <v>0.2</v>
      </c>
      <c r="I160" s="80" t="str">
        <f>+'Frais généraux'!I60</f>
        <v>Mensuel</v>
      </c>
      <c r="J160" s="107">
        <f>+'Frais généraux'!J60</f>
        <v>0</v>
      </c>
      <c r="K160" s="229">
        <f t="shared" si="16"/>
        <v>0</v>
      </c>
      <c r="L160" s="229">
        <f t="shared" si="17"/>
        <v>0</v>
      </c>
      <c r="M160" s="229">
        <f t="shared" si="18"/>
        <v>0</v>
      </c>
      <c r="Q160"/>
      <c r="R160" s="39"/>
    </row>
    <row r="161" spans="1:18" x14ac:dyDescent="0.25">
      <c r="A161" s="38"/>
      <c r="B161" s="67" t="str">
        <f>'Frais généraux'!B61</f>
        <v>(ajouter)</v>
      </c>
      <c r="C161" s="109">
        <f>+'Frais généraux'!C61</f>
        <v>0</v>
      </c>
      <c r="D161" s="4">
        <f>+'Frais généraux'!D61</f>
        <v>0</v>
      </c>
      <c r="E161" s="112">
        <f>+'Frais généraux'!E61</f>
        <v>0</v>
      </c>
      <c r="F161" s="113">
        <f>+'Frais généraux'!F61</f>
        <v>0</v>
      </c>
      <c r="G161" s="112">
        <f>+'Frais généraux'!G61</f>
        <v>0</v>
      </c>
      <c r="H161" s="80">
        <f>+'Frais généraux'!H61</f>
        <v>0.2</v>
      </c>
      <c r="I161" s="80" t="str">
        <f>+'Frais généraux'!I61</f>
        <v>Mensuel</v>
      </c>
      <c r="J161" s="107">
        <f>+'Frais généraux'!J61</f>
        <v>0</v>
      </c>
      <c r="K161" s="229">
        <f t="shared" si="16"/>
        <v>0</v>
      </c>
      <c r="L161" s="229">
        <f t="shared" si="17"/>
        <v>0</v>
      </c>
      <c r="M161" s="229">
        <f t="shared" si="18"/>
        <v>0</v>
      </c>
      <c r="Q161"/>
      <c r="R161" s="39"/>
    </row>
    <row r="162" spans="1:18" x14ac:dyDescent="0.25">
      <c r="A162" s="38"/>
      <c r="B162" s="67" t="str">
        <f>'Frais généraux'!B62</f>
        <v>(ajouter)</v>
      </c>
      <c r="C162" s="109">
        <f>+'Frais généraux'!C62</f>
        <v>0</v>
      </c>
      <c r="D162" s="4">
        <f>+'Frais généraux'!D62</f>
        <v>0</v>
      </c>
      <c r="E162" s="112">
        <f>+'Frais généraux'!E62</f>
        <v>0</v>
      </c>
      <c r="F162" s="113">
        <f>+'Frais généraux'!F62</f>
        <v>0</v>
      </c>
      <c r="G162" s="112">
        <f>+'Frais généraux'!G62</f>
        <v>0</v>
      </c>
      <c r="H162" s="80">
        <f>+'Frais généraux'!H62</f>
        <v>0.2</v>
      </c>
      <c r="I162" s="80" t="str">
        <f>+'Frais généraux'!I62</f>
        <v>Mensuel</v>
      </c>
      <c r="J162" s="107">
        <f>+'Frais généraux'!J62</f>
        <v>0</v>
      </c>
      <c r="K162" s="229">
        <f t="shared" si="16"/>
        <v>0</v>
      </c>
      <c r="L162" s="229">
        <f t="shared" si="17"/>
        <v>0</v>
      </c>
      <c r="M162" s="229">
        <f t="shared" si="18"/>
        <v>0</v>
      </c>
      <c r="Q162"/>
      <c r="R162" s="39"/>
    </row>
    <row r="163" spans="1:18" x14ac:dyDescent="0.25">
      <c r="A163" s="38"/>
      <c r="B163" s="67" t="str">
        <f>'Frais généraux'!B63</f>
        <v>(ajouter)</v>
      </c>
      <c r="C163" s="109">
        <f>+'Frais généraux'!C63</f>
        <v>0</v>
      </c>
      <c r="D163" s="4">
        <f>+'Frais généraux'!D63</f>
        <v>0</v>
      </c>
      <c r="E163" s="112">
        <f>+'Frais généraux'!E63</f>
        <v>0</v>
      </c>
      <c r="F163" s="113">
        <f>+'Frais généraux'!F63</f>
        <v>0</v>
      </c>
      <c r="G163" s="112">
        <f>+'Frais généraux'!G63</f>
        <v>0</v>
      </c>
      <c r="H163" s="80">
        <f>+'Frais généraux'!H63</f>
        <v>0.2</v>
      </c>
      <c r="I163" s="80" t="str">
        <f>+'Frais généraux'!I63</f>
        <v>Mensuel</v>
      </c>
      <c r="J163" s="107">
        <f>+'Frais généraux'!J63</f>
        <v>0</v>
      </c>
      <c r="K163" s="229">
        <f t="shared" si="16"/>
        <v>0</v>
      </c>
      <c r="L163" s="229">
        <f t="shared" si="17"/>
        <v>0</v>
      </c>
      <c r="M163" s="229">
        <f t="shared" si="18"/>
        <v>0</v>
      </c>
      <c r="Q163"/>
      <c r="R163" s="39"/>
    </row>
    <row r="164" spans="1:18" x14ac:dyDescent="0.25">
      <c r="A164" s="38"/>
      <c r="B164" s="67" t="str">
        <f>'Frais généraux'!B64</f>
        <v>(ajouter)</v>
      </c>
      <c r="C164" s="109">
        <f>+'Frais généraux'!C64</f>
        <v>0</v>
      </c>
      <c r="D164" s="4">
        <f>+'Frais généraux'!D64</f>
        <v>0</v>
      </c>
      <c r="E164" s="112">
        <f>+'Frais généraux'!E64</f>
        <v>0</v>
      </c>
      <c r="F164" s="113">
        <f>+'Frais généraux'!F64</f>
        <v>0</v>
      </c>
      <c r="G164" s="112">
        <f>+'Frais généraux'!G64</f>
        <v>0</v>
      </c>
      <c r="H164" s="80">
        <f>+'Frais généraux'!H64</f>
        <v>0.2</v>
      </c>
      <c r="I164" s="80" t="str">
        <f>+'Frais généraux'!I64</f>
        <v>Mensuel</v>
      </c>
      <c r="J164" s="107">
        <f>+'Frais généraux'!J64</f>
        <v>0</v>
      </c>
      <c r="K164" s="229">
        <f t="shared" si="16"/>
        <v>0</v>
      </c>
      <c r="L164" s="229">
        <f t="shared" si="17"/>
        <v>0</v>
      </c>
      <c r="M164" s="229">
        <f t="shared" si="18"/>
        <v>0</v>
      </c>
      <c r="Q164"/>
      <c r="R164" s="39"/>
    </row>
    <row r="165" spans="1:18" x14ac:dyDescent="0.25">
      <c r="A165" s="38"/>
      <c r="B165" s="67" t="str">
        <f>'Frais généraux'!B65</f>
        <v>(ajouter)</v>
      </c>
      <c r="C165" s="109">
        <f>+'Frais généraux'!C65</f>
        <v>0</v>
      </c>
      <c r="D165" s="4">
        <f>+'Frais généraux'!D65</f>
        <v>0</v>
      </c>
      <c r="E165" s="112">
        <f>+'Frais généraux'!E65</f>
        <v>0</v>
      </c>
      <c r="F165" s="113">
        <f>+'Frais généraux'!F65</f>
        <v>0</v>
      </c>
      <c r="G165" s="112">
        <f>+'Frais généraux'!G65</f>
        <v>0</v>
      </c>
      <c r="H165" s="80">
        <f>+'Frais généraux'!H65</f>
        <v>0.2</v>
      </c>
      <c r="I165" s="80" t="str">
        <f>+'Frais généraux'!I65</f>
        <v>Mensuel</v>
      </c>
      <c r="J165" s="107">
        <f>+'Frais généraux'!J65</f>
        <v>0</v>
      </c>
      <c r="K165" s="229">
        <f t="shared" si="16"/>
        <v>0</v>
      </c>
      <c r="L165" s="229">
        <f t="shared" si="17"/>
        <v>0</v>
      </c>
      <c r="M165" s="229">
        <f t="shared" si="18"/>
        <v>0</v>
      </c>
      <c r="Q165"/>
      <c r="R165" s="39"/>
    </row>
    <row r="166" spans="1:18" x14ac:dyDescent="0.25">
      <c r="A166" s="38"/>
      <c r="B166" s="67" t="str">
        <f>'Frais généraux'!B66</f>
        <v>(ajouter)</v>
      </c>
      <c r="C166" s="109">
        <f>+'Frais généraux'!C66</f>
        <v>0</v>
      </c>
      <c r="D166" s="4">
        <f>+'Frais généraux'!D66</f>
        <v>0</v>
      </c>
      <c r="E166" s="112">
        <f>+'Frais généraux'!E66</f>
        <v>0</v>
      </c>
      <c r="F166" s="113">
        <f>+'Frais généraux'!F66</f>
        <v>0</v>
      </c>
      <c r="G166" s="112">
        <f>+'Frais généraux'!G66</f>
        <v>0</v>
      </c>
      <c r="H166" s="80">
        <f>+'Frais généraux'!H66</f>
        <v>0.2</v>
      </c>
      <c r="I166" s="80" t="str">
        <f>+'Frais généraux'!I66</f>
        <v>Mensuel</v>
      </c>
      <c r="J166" s="107">
        <f>+'Frais généraux'!J66</f>
        <v>0</v>
      </c>
      <c r="K166" s="229">
        <f t="shared" si="16"/>
        <v>0</v>
      </c>
      <c r="L166" s="229">
        <f t="shared" si="17"/>
        <v>0</v>
      </c>
      <c r="M166" s="229">
        <f t="shared" si="18"/>
        <v>0</v>
      </c>
      <c r="Q166"/>
      <c r="R166" s="39"/>
    </row>
    <row r="167" spans="1:18" x14ac:dyDescent="0.25">
      <c r="A167" s="38"/>
      <c r="B167" s="67" t="str">
        <f>'Frais généraux'!B67</f>
        <v>(ajouter)</v>
      </c>
      <c r="C167" s="109">
        <f>+'Frais généraux'!C67</f>
        <v>0</v>
      </c>
      <c r="D167" s="4">
        <f>+'Frais généraux'!D67</f>
        <v>0</v>
      </c>
      <c r="E167" s="112">
        <f>+'Frais généraux'!E67</f>
        <v>0</v>
      </c>
      <c r="F167" s="113">
        <f>+'Frais généraux'!F67</f>
        <v>0</v>
      </c>
      <c r="G167" s="112">
        <f>+'Frais généraux'!G67</f>
        <v>0</v>
      </c>
      <c r="H167" s="80">
        <f>+'Frais généraux'!H67</f>
        <v>0.2</v>
      </c>
      <c r="I167" s="80" t="str">
        <f>+'Frais généraux'!I67</f>
        <v>Mensuel</v>
      </c>
      <c r="J167" s="107">
        <f>+'Frais généraux'!J67</f>
        <v>0</v>
      </c>
      <c r="K167" s="229">
        <f t="shared" si="16"/>
        <v>0</v>
      </c>
      <c r="L167" s="229">
        <f t="shared" si="17"/>
        <v>0</v>
      </c>
      <c r="M167" s="229">
        <f t="shared" si="18"/>
        <v>0</v>
      </c>
      <c r="Q167"/>
      <c r="R167" s="39"/>
    </row>
    <row r="168" spans="1:18" x14ac:dyDescent="0.25">
      <c r="A168" s="38"/>
      <c r="B168" s="67" t="str">
        <f>'Frais généraux'!B68</f>
        <v>(ajouter)</v>
      </c>
      <c r="C168" s="109">
        <f>+'Frais généraux'!C68</f>
        <v>0</v>
      </c>
      <c r="D168" s="4">
        <f>+'Frais généraux'!D68</f>
        <v>0</v>
      </c>
      <c r="E168" s="112">
        <f>+'Frais généraux'!E68</f>
        <v>0</v>
      </c>
      <c r="F168" s="113">
        <f>+'Frais généraux'!F68</f>
        <v>0</v>
      </c>
      <c r="G168" s="112">
        <f>+'Frais généraux'!G68</f>
        <v>0</v>
      </c>
      <c r="H168" s="80">
        <f>+'Frais généraux'!H68</f>
        <v>0.2</v>
      </c>
      <c r="I168" s="80" t="str">
        <f>+'Frais généraux'!I68</f>
        <v>Mensuel</v>
      </c>
      <c r="J168" s="107">
        <f>+'Frais généraux'!J68</f>
        <v>0</v>
      </c>
      <c r="K168" s="229">
        <f t="shared" si="16"/>
        <v>0</v>
      </c>
      <c r="L168" s="229">
        <f t="shared" si="17"/>
        <v>0</v>
      </c>
      <c r="M168" s="229">
        <f t="shared" si="18"/>
        <v>0</v>
      </c>
      <c r="Q168"/>
      <c r="R168" s="39"/>
    </row>
    <row r="169" spans="1:18" x14ac:dyDescent="0.25">
      <c r="A169" s="38"/>
      <c r="B169" s="67" t="str">
        <f>'Frais généraux'!B69</f>
        <v>(ajouter)</v>
      </c>
      <c r="C169" s="109">
        <f>+'Frais généraux'!C69</f>
        <v>0</v>
      </c>
      <c r="D169" s="4">
        <f>+'Frais généraux'!D69</f>
        <v>0</v>
      </c>
      <c r="E169" s="112">
        <f>+'Frais généraux'!E69</f>
        <v>0</v>
      </c>
      <c r="F169" s="113">
        <f>+'Frais généraux'!F69</f>
        <v>0</v>
      </c>
      <c r="G169" s="112">
        <f>+'Frais généraux'!G69</f>
        <v>0</v>
      </c>
      <c r="H169" s="80">
        <f>+'Frais généraux'!H69</f>
        <v>0.2</v>
      </c>
      <c r="I169" s="80" t="str">
        <f>+'Frais généraux'!I69</f>
        <v>Mensuel</v>
      </c>
      <c r="J169" s="107">
        <f>+'Frais généraux'!J69</f>
        <v>0</v>
      </c>
      <c r="K169" s="229">
        <f t="shared" si="16"/>
        <v>0</v>
      </c>
      <c r="L169" s="229">
        <f t="shared" si="17"/>
        <v>0</v>
      </c>
      <c r="M169" s="229">
        <f t="shared" si="18"/>
        <v>0</v>
      </c>
      <c r="Q169"/>
      <c r="R169" s="39"/>
    </row>
    <row r="170" spans="1:18" x14ac:dyDescent="0.25">
      <c r="A170" s="38"/>
      <c r="B170" s="67" t="str">
        <f>'Frais généraux'!B70</f>
        <v>(ajouter)</v>
      </c>
      <c r="C170" s="109">
        <f>+'Frais généraux'!C70</f>
        <v>0</v>
      </c>
      <c r="D170" s="4">
        <f>+'Frais généraux'!D70</f>
        <v>0</v>
      </c>
      <c r="E170" s="112">
        <f>+'Frais généraux'!E70</f>
        <v>0</v>
      </c>
      <c r="F170" s="113">
        <f>+'Frais généraux'!F70</f>
        <v>0</v>
      </c>
      <c r="G170" s="112">
        <f>+'Frais généraux'!G70</f>
        <v>0</v>
      </c>
      <c r="H170" s="80">
        <f>+'Frais généraux'!H70</f>
        <v>0.2</v>
      </c>
      <c r="I170" s="80" t="str">
        <f>+'Frais généraux'!I70</f>
        <v>Mensuel</v>
      </c>
      <c r="J170" s="107">
        <f>+'Frais généraux'!J70</f>
        <v>0</v>
      </c>
      <c r="K170" s="229">
        <f t="shared" si="16"/>
        <v>0</v>
      </c>
      <c r="L170" s="229">
        <f t="shared" si="17"/>
        <v>0</v>
      </c>
      <c r="M170" s="229">
        <f t="shared" si="18"/>
        <v>0</v>
      </c>
      <c r="Q170"/>
      <c r="R170" s="39"/>
    </row>
    <row r="171" spans="1:18" x14ac:dyDescent="0.25">
      <c r="A171" s="38"/>
      <c r="B171" s="73" t="s">
        <v>28</v>
      </c>
      <c r="C171" s="108">
        <f>+SUM(C117:C170)</f>
        <v>0</v>
      </c>
      <c r="D171" s="74"/>
      <c r="E171" s="108">
        <f>+SUM(E117:E170)</f>
        <v>0</v>
      </c>
      <c r="F171" s="74"/>
      <c r="G171" s="108">
        <f>+SUM(G117:G170)</f>
        <v>0</v>
      </c>
      <c r="H171" s="74"/>
      <c r="I171" s="252"/>
      <c r="J171" s="252"/>
      <c r="K171" s="255">
        <f>+SUM(K117:K170)</f>
        <v>0</v>
      </c>
      <c r="L171" s="255">
        <f>+SUM(L117:L170)</f>
        <v>0</v>
      </c>
      <c r="M171" s="255">
        <f>+SUM(M117:M170)</f>
        <v>0</v>
      </c>
      <c r="Q171"/>
      <c r="R171" s="39"/>
    </row>
    <row r="172" spans="1:18" x14ac:dyDescent="0.25">
      <c r="A172" s="38"/>
      <c r="B172" s="29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9"/>
    </row>
    <row r="173" spans="1:18" ht="17.25" customHeight="1" x14ac:dyDescent="0.25">
      <c r="A173" s="38"/>
      <c r="B173" s="110" t="s">
        <v>385</v>
      </c>
      <c r="C173" s="111" t="s">
        <v>146</v>
      </c>
      <c r="D173" s="111" t="s">
        <v>147</v>
      </c>
      <c r="E173" s="111" t="s">
        <v>148</v>
      </c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9"/>
    </row>
    <row r="174" spans="1:18" x14ac:dyDescent="0.25">
      <c r="A174" s="38"/>
      <c r="B174" s="33" t="s">
        <v>219</v>
      </c>
      <c r="C174" s="253">
        <f>SUMIFS($K$117:$K$170,$I$117:$I$170,"Mensuel",$J$117:$J$170,"0")</f>
        <v>0</v>
      </c>
      <c r="D174" s="253">
        <f>SUMIFS($L$117:$L$170,$I$117:$I$170,"Mensuel",$J$117:$J$170,"0")</f>
        <v>0</v>
      </c>
      <c r="E174" s="253">
        <f>SUMIFS($M$117:$M$170,$I$117:$I$170,"Mensuel",$J$117:$J$170,"0")</f>
        <v>0</v>
      </c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9"/>
    </row>
    <row r="175" spans="1:18" x14ac:dyDescent="0.25">
      <c r="A175" s="38"/>
      <c r="B175" s="33" t="s">
        <v>221</v>
      </c>
      <c r="C175" s="253">
        <f>SUMIFS($K$117:$K$170,$I$117:$I$170,"Mensuel",$J$117:$J$170,"30")</f>
        <v>0</v>
      </c>
      <c r="D175" s="253">
        <f>SUMIFS($L$117:$L$170,$I$117:$I$170,"Mensuel",$J$117:$J$170,"30")</f>
        <v>0</v>
      </c>
      <c r="E175" s="253">
        <f>SUMIFS($M$117:$M$170,$I$117:$I$170,"Mensuel",$J$117:$J$170,"30")</f>
        <v>0</v>
      </c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9"/>
    </row>
    <row r="176" spans="1:18" x14ac:dyDescent="0.25">
      <c r="A176" s="38"/>
      <c r="B176" s="33" t="s">
        <v>220</v>
      </c>
      <c r="C176" s="253">
        <f>SUMIFS($K$117:$K$170,$I$117:$I$170,"Mensuel",$J$117:$J$170,"60")</f>
        <v>0</v>
      </c>
      <c r="D176" s="253">
        <f>SUMIFS($L$117:$L$170,$I$117:$I$170,"Mensuel",$J$117:$J$170,"60")</f>
        <v>0</v>
      </c>
      <c r="E176" s="253">
        <f>SUMIFS($M$117:$M$170,$I$117:$I$170,"Mensuel",$J$117:$J$170,"60")</f>
        <v>0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9"/>
    </row>
    <row r="177" spans="1:18" x14ac:dyDescent="0.25">
      <c r="A177" s="38"/>
      <c r="B177" s="33" t="s">
        <v>222</v>
      </c>
      <c r="C177" s="253">
        <f>SUMIFS($K$117:$K$170,$I$117:$I$170,"Trimestriel",$J$117:$J$170,"0")</f>
        <v>0</v>
      </c>
      <c r="D177" s="253">
        <f>SUMIFS($L$117:$L$170,$I$117:$I$170,"Trimestriel",$J$117:$J$170,"0")</f>
        <v>0</v>
      </c>
      <c r="E177" s="253">
        <f>SUMIFS($M$117:$M$170,$I$117:$I$170,"Trimestriel",$J$117:$J$170,"0")</f>
        <v>0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9"/>
    </row>
    <row r="178" spans="1:18" x14ac:dyDescent="0.25">
      <c r="A178" s="38"/>
      <c r="B178" s="33" t="s">
        <v>223</v>
      </c>
      <c r="C178" s="253">
        <f>SUMIFS($K$117:$K$170,$I$117:$I$170,"Trimestriel",$J$117:$J$170,"30")</f>
        <v>0</v>
      </c>
      <c r="D178" s="253">
        <f>SUMIFS($L$117:$L$170,$I$117:$I$170,"Trimestriel",$J$117:$J$170,"30")</f>
        <v>0</v>
      </c>
      <c r="E178" s="253">
        <f>SUMIFS($M$117:$M$170,$I$117:$I$170,"Trimestriel",$J$117:$J$170,"30")</f>
        <v>0</v>
      </c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9"/>
    </row>
    <row r="179" spans="1:18" x14ac:dyDescent="0.25">
      <c r="A179" s="38"/>
      <c r="B179" s="33" t="s">
        <v>224</v>
      </c>
      <c r="C179" s="253">
        <f>SUMIFS($K$117:$K$170,$I$117:$I$170,"Trimestriel",$J$117:$J$170,"60")</f>
        <v>0</v>
      </c>
      <c r="D179" s="253">
        <f>SUMIFS($L$117:$L$170,$I$117:$I$170,"Trimestriel",$J$117:$J$170,"60")</f>
        <v>0</v>
      </c>
      <c r="E179" s="253">
        <f>SUMIFS($M$117:$M$170,$I$117:$I$170,"Trimestriel",$J$117:$J$170,"60")</f>
        <v>0</v>
      </c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9"/>
    </row>
    <row r="180" spans="1:18" x14ac:dyDescent="0.25">
      <c r="A180" s="38"/>
      <c r="B180" s="33" t="s">
        <v>225</v>
      </c>
      <c r="C180" s="253">
        <f>SUMIFS($K$117:$K$170,$I$117:$I$170,"Annuel début d'année",$J$117:$J$170,"0")</f>
        <v>0</v>
      </c>
      <c r="D180" s="253">
        <f>SUMIFS($L$117:$L$170,$I$117:$I$170,"Annuel début d'année",$J$117:$J$170,"0")</f>
        <v>0</v>
      </c>
      <c r="E180" s="253">
        <f>SUMIFS($M$117:$M$170,$I$117:$I$170,"Annuel début d'année",$J$117:$J$170,"0")</f>
        <v>0</v>
      </c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9"/>
    </row>
    <row r="181" spans="1:18" x14ac:dyDescent="0.25">
      <c r="A181" s="38"/>
      <c r="B181" s="33" t="s">
        <v>226</v>
      </c>
      <c r="C181" s="253">
        <f>SUMIFS($K$117:$K$170,$I$117:$I$170,"Annuel début d'année",$J$117:$J$170,"30")</f>
        <v>0</v>
      </c>
      <c r="D181" s="253">
        <f>SUMIFS($L$117:$L$170,$I$117:$I$170,"Annuel début d'année",$J$117:$J$170,"30")</f>
        <v>0</v>
      </c>
      <c r="E181" s="253">
        <f>SUMIFS($M$117:$M$170,$I$117:$I$170,"Annuel début d'année",$J$117:$J$170,"30")</f>
        <v>0</v>
      </c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9"/>
    </row>
    <row r="182" spans="1:18" x14ac:dyDescent="0.25">
      <c r="A182" s="38"/>
      <c r="B182" s="33" t="s">
        <v>227</v>
      </c>
      <c r="C182" s="253">
        <f>SUMIFS($K$117:$K$170,$I$117:$I$170,"Annuel début d'année",$J$117:$J$170,"60")</f>
        <v>0</v>
      </c>
      <c r="D182" s="253">
        <f>SUMIFS($L$117:$L$170,$I$117:$I$170,"Annuel début d'année",$J$117:$J$170,"60")</f>
        <v>0</v>
      </c>
      <c r="E182" s="253">
        <f>SUMIFS($M$117:$M$170,$I$117:$I$170,"Annuel début d'année",$J$117:$J$170,"60")</f>
        <v>0</v>
      </c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9"/>
    </row>
    <row r="183" spans="1:18" x14ac:dyDescent="0.25">
      <c r="A183" s="38"/>
      <c r="B183" s="33" t="s">
        <v>228</v>
      </c>
      <c r="C183" s="253">
        <f>SUMIFS($K$117:$K$170,$I$117:$I$170,"Annuel fin d'année",$J$117:$J$170,"0")</f>
        <v>0</v>
      </c>
      <c r="D183" s="253">
        <f>SUMIFS($L$117:$L$170,$I$117:$I$170,"Annuel fin d'année",$J$117:$J$170,"0")</f>
        <v>0</v>
      </c>
      <c r="E183" s="253">
        <f>SUMIFS($M$117:$M$170,$I$117:$I$170,"Annuel fin d'année",$J$117:$J$170,"0")</f>
        <v>0</v>
      </c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9"/>
    </row>
    <row r="184" spans="1:18" x14ac:dyDescent="0.25">
      <c r="A184" s="38"/>
      <c r="B184" s="33" t="s">
        <v>229</v>
      </c>
      <c r="C184" s="253">
        <f>SUMIFS($K$117:$K$170,$I$117:$I$170,"Annuel fin d'année",$J$117:$J$170,"30")</f>
        <v>0</v>
      </c>
      <c r="D184" s="253">
        <f>SUMIFS($L$117:$L$170,$I$117:$I$170,"Annuel fin d'année",$J$117:$J$170,"30")</f>
        <v>0</v>
      </c>
      <c r="E184" s="253">
        <f>SUMIFS($M$117:$M$170,$I$117:$I$170,"Annuel fin d'année",$J$117:$J$170,"30")</f>
        <v>0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9"/>
    </row>
    <row r="185" spans="1:18" x14ac:dyDescent="0.25">
      <c r="A185" s="38"/>
      <c r="B185" s="33" t="s">
        <v>230</v>
      </c>
      <c r="C185" s="253">
        <f>SUMIFS($K$117:$K$170,$I$117:$I$170,"Annuel fin d'année",$J$117:$J$170,"60")</f>
        <v>0</v>
      </c>
      <c r="D185" s="253">
        <f>SUMIFS($L$117:$L$170,$I$117:$I$170,"Annuel fin d'année",$J$117:$J$170,"60")</f>
        <v>0</v>
      </c>
      <c r="E185" s="253">
        <f>SUMIFS($M$117:$M$170,$I$117:$I$170,"Annuel fin d'année",$J$117:$J$170,"60")</f>
        <v>0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9"/>
    </row>
    <row r="186" spans="1:18" x14ac:dyDescent="0.25">
      <c r="A186" s="38"/>
      <c r="B186" s="29"/>
      <c r="C186" s="253">
        <f>+SUM(C174:C185)</f>
        <v>0</v>
      </c>
      <c r="D186" s="253">
        <f t="shared" ref="D186:E186" si="19">+SUM(D174:D185)</f>
        <v>0</v>
      </c>
      <c r="E186" s="253">
        <f t="shared" si="19"/>
        <v>0</v>
      </c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9"/>
    </row>
    <row r="187" spans="1:18" x14ac:dyDescent="0.25">
      <c r="A187" s="38"/>
      <c r="B187" s="29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9"/>
    </row>
    <row r="188" spans="1:18" ht="18.75" x14ac:dyDescent="0.25">
      <c r="A188" s="38"/>
      <c r="B188" s="45" t="s">
        <v>146</v>
      </c>
      <c r="C188" s="46" t="s">
        <v>149</v>
      </c>
      <c r="D188" s="46" t="s">
        <v>150</v>
      </c>
      <c r="E188" s="46" t="s">
        <v>151</v>
      </c>
      <c r="F188" s="46" t="s">
        <v>152</v>
      </c>
      <c r="G188" s="46" t="s">
        <v>153</v>
      </c>
      <c r="H188" s="46" t="s">
        <v>154</v>
      </c>
      <c r="I188" s="46" t="s">
        <v>155</v>
      </c>
      <c r="J188" s="46" t="s">
        <v>156</v>
      </c>
      <c r="K188" s="46" t="s">
        <v>157</v>
      </c>
      <c r="L188" s="46" t="s">
        <v>158</v>
      </c>
      <c r="M188" s="46" t="s">
        <v>159</v>
      </c>
      <c r="N188" s="46" t="s">
        <v>160</v>
      </c>
      <c r="O188" s="46" t="s">
        <v>240</v>
      </c>
      <c r="P188" s="50" t="s">
        <v>204</v>
      </c>
      <c r="Q188" s="31"/>
      <c r="R188" s="39"/>
    </row>
    <row r="189" spans="1:18" x14ac:dyDescent="0.25">
      <c r="A189" s="38"/>
      <c r="B189" s="33" t="s">
        <v>232</v>
      </c>
      <c r="C189" s="229">
        <f>($C$174+$C$175+$C$176)/12</f>
        <v>0</v>
      </c>
      <c r="D189" s="229">
        <f t="shared" ref="D189:N189" si="20">($C$174+$C$175+$C$176)/12</f>
        <v>0</v>
      </c>
      <c r="E189" s="229">
        <f t="shared" si="20"/>
        <v>0</v>
      </c>
      <c r="F189" s="229">
        <f t="shared" si="20"/>
        <v>0</v>
      </c>
      <c r="G189" s="229">
        <f t="shared" si="20"/>
        <v>0</v>
      </c>
      <c r="H189" s="229">
        <f t="shared" si="20"/>
        <v>0</v>
      </c>
      <c r="I189" s="229">
        <f t="shared" si="20"/>
        <v>0</v>
      </c>
      <c r="J189" s="229">
        <f t="shared" si="20"/>
        <v>0</v>
      </c>
      <c r="K189" s="229">
        <f t="shared" si="20"/>
        <v>0</v>
      </c>
      <c r="L189" s="229">
        <f t="shared" si="20"/>
        <v>0</v>
      </c>
      <c r="M189" s="229">
        <f t="shared" si="20"/>
        <v>0</v>
      </c>
      <c r="N189" s="229">
        <f t="shared" si="20"/>
        <v>0</v>
      </c>
      <c r="O189" s="229">
        <f>SUM(C189:N189)</f>
        <v>0</v>
      </c>
      <c r="P189" s="254"/>
      <c r="Q189" s="31"/>
      <c r="R189" s="39"/>
    </row>
    <row r="190" spans="1:18" x14ac:dyDescent="0.25">
      <c r="A190" s="38"/>
      <c r="B190" s="33" t="s">
        <v>233</v>
      </c>
      <c r="C190" s="229">
        <f>(SUM($C$177:$C$179))/4</f>
        <v>0</v>
      </c>
      <c r="D190" s="229"/>
      <c r="E190" s="229"/>
      <c r="F190" s="229">
        <f>(SUM($C$177:$C$179))/4</f>
        <v>0</v>
      </c>
      <c r="G190" s="229"/>
      <c r="H190" s="229"/>
      <c r="I190" s="229">
        <f>(SUM($C$177:$C$179))/4</f>
        <v>0</v>
      </c>
      <c r="J190" s="229"/>
      <c r="K190" s="229"/>
      <c r="L190" s="229">
        <f>(SUM($C$177:$C$179))/4</f>
        <v>0</v>
      </c>
      <c r="M190" s="229"/>
      <c r="N190" s="229"/>
      <c r="O190" s="229">
        <f t="shared" ref="O190:O199" si="21">SUM(C190:N190)</f>
        <v>0</v>
      </c>
      <c r="P190" s="254"/>
      <c r="Q190" s="31"/>
      <c r="R190" s="39"/>
    </row>
    <row r="191" spans="1:18" x14ac:dyDescent="0.25">
      <c r="A191" s="38"/>
      <c r="B191" s="33" t="s">
        <v>234</v>
      </c>
      <c r="C191" s="229">
        <f>SUM($C$180:$C$182)</f>
        <v>0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>
        <f t="shared" si="21"/>
        <v>0</v>
      </c>
      <c r="P191" s="254"/>
      <c r="Q191" s="31"/>
      <c r="R191" s="39"/>
    </row>
    <row r="192" spans="1:18" x14ac:dyDescent="0.25">
      <c r="A192" s="38"/>
      <c r="B192" s="33" t="s">
        <v>235</v>
      </c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>
        <f>SUM($C$183:$C$185)</f>
        <v>0</v>
      </c>
      <c r="O192" s="229">
        <f t="shared" si="21"/>
        <v>0</v>
      </c>
      <c r="P192" s="254"/>
      <c r="Q192" s="31"/>
      <c r="R192" s="39"/>
    </row>
    <row r="193" spans="1:18" x14ac:dyDescent="0.25">
      <c r="A193" s="38"/>
      <c r="B193" s="33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>
        <f t="shared" si="21"/>
        <v>0</v>
      </c>
      <c r="P193" s="254"/>
      <c r="Q193" s="31"/>
      <c r="R193" s="39"/>
    </row>
    <row r="194" spans="1:18" x14ac:dyDescent="0.25">
      <c r="A194" s="38"/>
      <c r="B194" s="33" t="s">
        <v>236</v>
      </c>
      <c r="C194" s="229">
        <f>($C$174/12)</f>
        <v>0</v>
      </c>
      <c r="D194" s="229">
        <f>($C$174/12)+($C$175/12)</f>
        <v>0</v>
      </c>
      <c r="E194" s="229">
        <f>($C$174/12)+($C$175/12)+($C$176/12)</f>
        <v>0</v>
      </c>
      <c r="F194" s="229">
        <f t="shared" ref="F194:N194" si="22">($C$174/12)+($C$175/12)+($C$176/12)</f>
        <v>0</v>
      </c>
      <c r="G194" s="229">
        <f t="shared" si="22"/>
        <v>0</v>
      </c>
      <c r="H194" s="229">
        <f t="shared" si="22"/>
        <v>0</v>
      </c>
      <c r="I194" s="229">
        <f t="shared" si="22"/>
        <v>0</v>
      </c>
      <c r="J194" s="229">
        <f t="shared" si="22"/>
        <v>0</v>
      </c>
      <c r="K194" s="229">
        <f t="shared" si="22"/>
        <v>0</v>
      </c>
      <c r="L194" s="229">
        <f t="shared" si="22"/>
        <v>0</v>
      </c>
      <c r="M194" s="229">
        <f t="shared" si="22"/>
        <v>0</v>
      </c>
      <c r="N194" s="229">
        <f t="shared" si="22"/>
        <v>0</v>
      </c>
      <c r="O194" s="229">
        <f t="shared" si="21"/>
        <v>0</v>
      </c>
      <c r="P194" s="254">
        <f>($C$175/12)+(($C$176/12)*2)</f>
        <v>0</v>
      </c>
      <c r="Q194" s="31"/>
      <c r="R194" s="39"/>
    </row>
    <row r="195" spans="1:18" x14ac:dyDescent="0.25">
      <c r="A195" s="38"/>
      <c r="B195" s="33" t="s">
        <v>237</v>
      </c>
      <c r="C195" s="229">
        <f>$C$177/4</f>
        <v>0</v>
      </c>
      <c r="D195" s="229">
        <f>$C$178/4</f>
        <v>0</v>
      </c>
      <c r="E195" s="229">
        <f>$C$179/4</f>
        <v>0</v>
      </c>
      <c r="F195" s="229">
        <f>$C$177/4</f>
        <v>0</v>
      </c>
      <c r="G195" s="229">
        <f>$C$178/4</f>
        <v>0</v>
      </c>
      <c r="H195" s="229">
        <f>$C$179/4</f>
        <v>0</v>
      </c>
      <c r="I195" s="229">
        <f>$C$177/4</f>
        <v>0</v>
      </c>
      <c r="J195" s="229">
        <f>$C$178/4</f>
        <v>0</v>
      </c>
      <c r="K195" s="229">
        <f>$C$179/4</f>
        <v>0</v>
      </c>
      <c r="L195" s="229">
        <f>$C$177/4</f>
        <v>0</v>
      </c>
      <c r="M195" s="229">
        <f>$C$178/4</f>
        <v>0</v>
      </c>
      <c r="N195" s="229">
        <f>$C$179/4</f>
        <v>0</v>
      </c>
      <c r="O195" s="229">
        <f t="shared" si="21"/>
        <v>0</v>
      </c>
      <c r="P195" s="254"/>
      <c r="Q195" s="31"/>
      <c r="R195" s="39"/>
    </row>
    <row r="196" spans="1:18" x14ac:dyDescent="0.25">
      <c r="A196" s="38"/>
      <c r="B196" s="33" t="s">
        <v>238</v>
      </c>
      <c r="C196" s="229">
        <f>$C$180</f>
        <v>0</v>
      </c>
      <c r="D196" s="229">
        <f>$C$181</f>
        <v>0</v>
      </c>
      <c r="E196" s="229">
        <f>$C$182</f>
        <v>0</v>
      </c>
      <c r="F196" s="229"/>
      <c r="G196" s="229"/>
      <c r="H196" s="229"/>
      <c r="I196" s="229"/>
      <c r="J196" s="229"/>
      <c r="K196" s="229"/>
      <c r="L196" s="229"/>
      <c r="M196" s="229"/>
      <c r="N196" s="229"/>
      <c r="O196" s="229">
        <f t="shared" si="21"/>
        <v>0</v>
      </c>
      <c r="P196" s="254"/>
      <c r="Q196" s="31"/>
      <c r="R196" s="39"/>
    </row>
    <row r="197" spans="1:18" x14ac:dyDescent="0.25">
      <c r="A197" s="38"/>
      <c r="B197" s="33" t="s">
        <v>239</v>
      </c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>
        <f>$C$183</f>
        <v>0</v>
      </c>
      <c r="O197" s="229">
        <f t="shared" si="21"/>
        <v>0</v>
      </c>
      <c r="P197" s="254">
        <f>$C$184+$C$185</f>
        <v>0</v>
      </c>
      <c r="Q197" s="31"/>
      <c r="R197" s="39"/>
    </row>
    <row r="198" spans="1:18" x14ac:dyDescent="0.25">
      <c r="A198" s="38"/>
      <c r="B198" s="33" t="s">
        <v>241</v>
      </c>
      <c r="C198" s="229">
        <f>+SUM(C194:C197)</f>
        <v>0</v>
      </c>
      <c r="D198" s="229">
        <f t="shared" ref="D198:N198" si="23">+SUM(D194:D197)</f>
        <v>0</v>
      </c>
      <c r="E198" s="229">
        <f t="shared" si="23"/>
        <v>0</v>
      </c>
      <c r="F198" s="229">
        <f t="shared" si="23"/>
        <v>0</v>
      </c>
      <c r="G198" s="229">
        <f t="shared" si="23"/>
        <v>0</v>
      </c>
      <c r="H198" s="229">
        <f t="shared" si="23"/>
        <v>0</v>
      </c>
      <c r="I198" s="229">
        <f t="shared" si="23"/>
        <v>0</v>
      </c>
      <c r="J198" s="229">
        <f t="shared" si="23"/>
        <v>0</v>
      </c>
      <c r="K198" s="229">
        <f t="shared" si="23"/>
        <v>0</v>
      </c>
      <c r="L198" s="229">
        <f t="shared" si="23"/>
        <v>0</v>
      </c>
      <c r="M198" s="229">
        <f t="shared" si="23"/>
        <v>0</v>
      </c>
      <c r="N198" s="229">
        <f t="shared" si="23"/>
        <v>0</v>
      </c>
      <c r="O198" s="229">
        <f t="shared" si="21"/>
        <v>0</v>
      </c>
      <c r="P198" s="254"/>
      <c r="Q198" s="31"/>
      <c r="R198" s="39"/>
    </row>
    <row r="199" spans="1:18" x14ac:dyDescent="0.25">
      <c r="A199" s="38"/>
      <c r="B199" s="33" t="s">
        <v>242</v>
      </c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>
        <f t="shared" si="21"/>
        <v>0</v>
      </c>
      <c r="P199" s="254">
        <f>SUM(P194:P197)</f>
        <v>0</v>
      </c>
      <c r="Q199" s="31"/>
      <c r="R199" s="39"/>
    </row>
    <row r="200" spans="1:18" x14ac:dyDescent="0.25">
      <c r="A200" s="38"/>
      <c r="B200" s="29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9"/>
    </row>
    <row r="201" spans="1:18" ht="18.75" x14ac:dyDescent="0.25">
      <c r="A201" s="38"/>
      <c r="B201" s="45" t="s">
        <v>147</v>
      </c>
      <c r="C201" s="46" t="s">
        <v>149</v>
      </c>
      <c r="D201" s="46" t="s">
        <v>150</v>
      </c>
      <c r="E201" s="46" t="s">
        <v>151</v>
      </c>
      <c r="F201" s="46" t="s">
        <v>152</v>
      </c>
      <c r="G201" s="46" t="s">
        <v>153</v>
      </c>
      <c r="H201" s="46" t="s">
        <v>154</v>
      </c>
      <c r="I201" s="46" t="s">
        <v>155</v>
      </c>
      <c r="J201" s="46" t="s">
        <v>156</v>
      </c>
      <c r="K201" s="46" t="s">
        <v>157</v>
      </c>
      <c r="L201" s="46" t="s">
        <v>158</v>
      </c>
      <c r="M201" s="46" t="s">
        <v>159</v>
      </c>
      <c r="N201" s="46" t="s">
        <v>160</v>
      </c>
      <c r="O201" s="46"/>
      <c r="P201" s="50" t="s">
        <v>204</v>
      </c>
      <c r="Q201" s="31"/>
      <c r="R201" s="39"/>
    </row>
    <row r="202" spans="1:18" x14ac:dyDescent="0.25">
      <c r="A202" s="38"/>
      <c r="B202" s="33" t="s">
        <v>232</v>
      </c>
      <c r="C202" s="229">
        <f>($D$174+$D$175+$D$176)/12</f>
        <v>0</v>
      </c>
      <c r="D202" s="229">
        <f t="shared" ref="D202:N202" si="24">($D$174+$D$175+$D$176)/12</f>
        <v>0</v>
      </c>
      <c r="E202" s="229">
        <f t="shared" si="24"/>
        <v>0</v>
      </c>
      <c r="F202" s="229">
        <f t="shared" si="24"/>
        <v>0</v>
      </c>
      <c r="G202" s="229">
        <f t="shared" si="24"/>
        <v>0</v>
      </c>
      <c r="H202" s="229">
        <f t="shared" si="24"/>
        <v>0</v>
      </c>
      <c r="I202" s="229">
        <f t="shared" si="24"/>
        <v>0</v>
      </c>
      <c r="J202" s="229">
        <f t="shared" si="24"/>
        <v>0</v>
      </c>
      <c r="K202" s="229">
        <f t="shared" si="24"/>
        <v>0</v>
      </c>
      <c r="L202" s="229">
        <f t="shared" si="24"/>
        <v>0</v>
      </c>
      <c r="M202" s="229">
        <f t="shared" si="24"/>
        <v>0</v>
      </c>
      <c r="N202" s="229">
        <f t="shared" si="24"/>
        <v>0</v>
      </c>
      <c r="O202" s="229">
        <f>SUM(C202:N202)</f>
        <v>0</v>
      </c>
      <c r="P202" s="254"/>
      <c r="Q202" s="31"/>
      <c r="R202" s="39"/>
    </row>
    <row r="203" spans="1:18" x14ac:dyDescent="0.25">
      <c r="A203" s="38"/>
      <c r="B203" s="33" t="s">
        <v>233</v>
      </c>
      <c r="C203" s="229">
        <f>(SUM($D$177:$D$179))/4</f>
        <v>0</v>
      </c>
      <c r="D203" s="229"/>
      <c r="E203" s="229"/>
      <c r="F203" s="229">
        <f>(SUM($D$177:$D$179))/4</f>
        <v>0</v>
      </c>
      <c r="G203" s="229"/>
      <c r="H203" s="229"/>
      <c r="I203" s="229">
        <f>(SUM($D$177:$D$179))/4</f>
        <v>0</v>
      </c>
      <c r="J203" s="229"/>
      <c r="K203" s="229"/>
      <c r="L203" s="229">
        <f>(SUM($D$177:$D$179))/4</f>
        <v>0</v>
      </c>
      <c r="M203" s="229"/>
      <c r="N203" s="229"/>
      <c r="O203" s="229">
        <f t="shared" ref="O203:O212" si="25">SUM(C203:N203)</f>
        <v>0</v>
      </c>
      <c r="P203" s="254"/>
      <c r="Q203" s="31"/>
      <c r="R203" s="39"/>
    </row>
    <row r="204" spans="1:18" x14ac:dyDescent="0.25">
      <c r="A204" s="38"/>
      <c r="B204" s="33" t="s">
        <v>234</v>
      </c>
      <c r="C204" s="229">
        <f>SUM($D$180:$D$182)</f>
        <v>0</v>
      </c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>
        <f t="shared" si="25"/>
        <v>0</v>
      </c>
      <c r="P204" s="254"/>
      <c r="Q204" s="31"/>
      <c r="R204" s="39"/>
    </row>
    <row r="205" spans="1:18" x14ac:dyDescent="0.25">
      <c r="A205" s="38"/>
      <c r="B205" s="33" t="s">
        <v>235</v>
      </c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>
        <f>SUM($D$183:$D$185)</f>
        <v>0</v>
      </c>
      <c r="O205" s="229">
        <f t="shared" si="25"/>
        <v>0</v>
      </c>
      <c r="P205" s="254"/>
      <c r="Q205" s="31"/>
      <c r="R205" s="39"/>
    </row>
    <row r="206" spans="1:18" x14ac:dyDescent="0.25">
      <c r="A206" s="38"/>
      <c r="B206" s="33"/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>
        <f t="shared" si="25"/>
        <v>0</v>
      </c>
      <c r="P206" s="254"/>
      <c r="Q206" s="31"/>
      <c r="R206" s="39"/>
    </row>
    <row r="207" spans="1:18" x14ac:dyDescent="0.25">
      <c r="A207" s="38"/>
      <c r="B207" s="33" t="s">
        <v>236</v>
      </c>
      <c r="C207" s="229">
        <f>($D$174/12)+($C$175/12)+($C$176/12)</f>
        <v>0</v>
      </c>
      <c r="D207" s="229">
        <f>($D$174/12)+($D$175/12)+($C$176/12)</f>
        <v>0</v>
      </c>
      <c r="E207" s="229">
        <f>($D$174/12)+($D$175/12)+($D$176/12)</f>
        <v>0</v>
      </c>
      <c r="F207" s="229">
        <f t="shared" ref="F207:N207" si="26">($D$174/12)+($D$175/12)+($D$176/12)</f>
        <v>0</v>
      </c>
      <c r="G207" s="229">
        <f t="shared" si="26"/>
        <v>0</v>
      </c>
      <c r="H207" s="229">
        <f t="shared" si="26"/>
        <v>0</v>
      </c>
      <c r="I207" s="229">
        <f t="shared" si="26"/>
        <v>0</v>
      </c>
      <c r="J207" s="229">
        <f t="shared" si="26"/>
        <v>0</v>
      </c>
      <c r="K207" s="229">
        <f t="shared" si="26"/>
        <v>0</v>
      </c>
      <c r="L207" s="229">
        <f t="shared" si="26"/>
        <v>0</v>
      </c>
      <c r="M207" s="229">
        <f t="shared" si="26"/>
        <v>0</v>
      </c>
      <c r="N207" s="229">
        <f t="shared" si="26"/>
        <v>0</v>
      </c>
      <c r="O207" s="229">
        <f t="shared" si="25"/>
        <v>0</v>
      </c>
      <c r="P207" s="254">
        <f>($D$175/12)+(($D$176/12)*2)</f>
        <v>0</v>
      </c>
      <c r="Q207" s="31"/>
      <c r="R207" s="39"/>
    </row>
    <row r="208" spans="1:18" x14ac:dyDescent="0.25">
      <c r="A208" s="38"/>
      <c r="B208" s="33" t="s">
        <v>237</v>
      </c>
      <c r="C208" s="229">
        <f>$D$177/4</f>
        <v>0</v>
      </c>
      <c r="D208" s="229">
        <f>$D$178/4</f>
        <v>0</v>
      </c>
      <c r="E208" s="229">
        <f>$D$179/4</f>
        <v>0</v>
      </c>
      <c r="F208" s="229">
        <f>$D$177/4</f>
        <v>0</v>
      </c>
      <c r="G208" s="229">
        <f>$D$178/4</f>
        <v>0</v>
      </c>
      <c r="H208" s="229">
        <f>$D$179/4</f>
        <v>0</v>
      </c>
      <c r="I208" s="229">
        <f>$D$177/4</f>
        <v>0</v>
      </c>
      <c r="J208" s="229">
        <f>$D$178/4</f>
        <v>0</v>
      </c>
      <c r="K208" s="229">
        <f>$D$179/4</f>
        <v>0</v>
      </c>
      <c r="L208" s="229">
        <f>$D$177/4</f>
        <v>0</v>
      </c>
      <c r="M208" s="229">
        <f>$D$178/4</f>
        <v>0</v>
      </c>
      <c r="N208" s="229">
        <f>$D$179/4</f>
        <v>0</v>
      </c>
      <c r="O208" s="229">
        <f t="shared" si="25"/>
        <v>0</v>
      </c>
      <c r="P208" s="254"/>
      <c r="Q208" s="31"/>
      <c r="R208" s="39"/>
    </row>
    <row r="209" spans="1:18" x14ac:dyDescent="0.25">
      <c r="A209" s="38"/>
      <c r="B209" s="33" t="s">
        <v>238</v>
      </c>
      <c r="C209" s="229">
        <f>$D$180</f>
        <v>0</v>
      </c>
      <c r="D209" s="229">
        <f>$D$181</f>
        <v>0</v>
      </c>
      <c r="E209" s="229">
        <f>$D$182</f>
        <v>0</v>
      </c>
      <c r="F209" s="229"/>
      <c r="G209" s="229"/>
      <c r="H209" s="229"/>
      <c r="I209" s="229"/>
      <c r="J209" s="229"/>
      <c r="K209" s="229"/>
      <c r="L209" s="229"/>
      <c r="M209" s="229"/>
      <c r="N209" s="229"/>
      <c r="O209" s="229">
        <f t="shared" si="25"/>
        <v>0</v>
      </c>
      <c r="P209" s="254"/>
      <c r="Q209" s="31"/>
      <c r="R209" s="39"/>
    </row>
    <row r="210" spans="1:18" x14ac:dyDescent="0.25">
      <c r="A210" s="38"/>
      <c r="B210" s="33" t="s">
        <v>239</v>
      </c>
      <c r="C210" s="229">
        <f>C184</f>
        <v>0</v>
      </c>
      <c r="D210" s="229">
        <f>C185</f>
        <v>0</v>
      </c>
      <c r="E210" s="229"/>
      <c r="F210" s="229"/>
      <c r="G210" s="229"/>
      <c r="H210" s="229"/>
      <c r="I210" s="229"/>
      <c r="J210" s="229"/>
      <c r="K210" s="229"/>
      <c r="L210" s="229"/>
      <c r="M210" s="229"/>
      <c r="N210" s="229">
        <f>$D$183</f>
        <v>0</v>
      </c>
      <c r="O210" s="229">
        <f t="shared" si="25"/>
        <v>0</v>
      </c>
      <c r="P210" s="254">
        <f>$D$184+$D$185</f>
        <v>0</v>
      </c>
      <c r="Q210" s="31"/>
      <c r="R210" s="39"/>
    </row>
    <row r="211" spans="1:18" x14ac:dyDescent="0.25">
      <c r="A211" s="38"/>
      <c r="B211" s="33" t="s">
        <v>241</v>
      </c>
      <c r="C211" s="229">
        <f>+SUM(C207:C210)</f>
        <v>0</v>
      </c>
      <c r="D211" s="229">
        <f t="shared" ref="D211" si="27">+SUM(D207:D210)</f>
        <v>0</v>
      </c>
      <c r="E211" s="229">
        <f t="shared" ref="E211" si="28">+SUM(E207:E210)</f>
        <v>0</v>
      </c>
      <c r="F211" s="229">
        <f t="shared" ref="F211" si="29">+SUM(F207:F210)</f>
        <v>0</v>
      </c>
      <c r="G211" s="229">
        <f t="shared" ref="G211" si="30">+SUM(G207:G210)</f>
        <v>0</v>
      </c>
      <c r="H211" s="229">
        <f t="shared" ref="H211" si="31">+SUM(H207:H210)</f>
        <v>0</v>
      </c>
      <c r="I211" s="229">
        <f t="shared" ref="I211" si="32">+SUM(I207:I210)</f>
        <v>0</v>
      </c>
      <c r="J211" s="229">
        <f t="shared" ref="J211" si="33">+SUM(J207:J210)</f>
        <v>0</v>
      </c>
      <c r="K211" s="229">
        <f t="shared" ref="K211" si="34">+SUM(K207:K210)</f>
        <v>0</v>
      </c>
      <c r="L211" s="229">
        <f t="shared" ref="L211" si="35">+SUM(L207:L210)</f>
        <v>0</v>
      </c>
      <c r="M211" s="229">
        <f t="shared" ref="M211" si="36">+SUM(M207:M210)</f>
        <v>0</v>
      </c>
      <c r="N211" s="229">
        <f t="shared" ref="N211" si="37">+SUM(N207:N210)</f>
        <v>0</v>
      </c>
      <c r="O211" s="229">
        <f t="shared" si="25"/>
        <v>0</v>
      </c>
      <c r="P211" s="254"/>
      <c r="Q211" s="31"/>
      <c r="R211" s="39"/>
    </row>
    <row r="212" spans="1:18" x14ac:dyDescent="0.25">
      <c r="A212" s="38"/>
      <c r="B212" s="33" t="s">
        <v>242</v>
      </c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>
        <f t="shared" si="25"/>
        <v>0</v>
      </c>
      <c r="P212" s="254">
        <f>SUM(P207:P210)</f>
        <v>0</v>
      </c>
      <c r="Q212" s="31"/>
      <c r="R212" s="39"/>
    </row>
    <row r="213" spans="1:18" x14ac:dyDescent="0.25">
      <c r="A213" s="38"/>
      <c r="B213" s="29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9"/>
    </row>
    <row r="214" spans="1:18" ht="18.75" x14ac:dyDescent="0.25">
      <c r="A214" s="38"/>
      <c r="B214" s="45" t="s">
        <v>148</v>
      </c>
      <c r="C214" s="46" t="s">
        <v>149</v>
      </c>
      <c r="D214" s="46" t="s">
        <v>150</v>
      </c>
      <c r="E214" s="46" t="s">
        <v>151</v>
      </c>
      <c r="F214" s="46" t="s">
        <v>152</v>
      </c>
      <c r="G214" s="46" t="s">
        <v>153</v>
      </c>
      <c r="H214" s="46" t="s">
        <v>154</v>
      </c>
      <c r="I214" s="46" t="s">
        <v>155</v>
      </c>
      <c r="J214" s="46" t="s">
        <v>156</v>
      </c>
      <c r="K214" s="46" t="s">
        <v>157</v>
      </c>
      <c r="L214" s="46" t="s">
        <v>158</v>
      </c>
      <c r="M214" s="46" t="s">
        <v>159</v>
      </c>
      <c r="N214" s="46" t="s">
        <v>160</v>
      </c>
      <c r="O214" s="46"/>
      <c r="P214" s="50" t="s">
        <v>204</v>
      </c>
      <c r="Q214" s="31"/>
      <c r="R214" s="39"/>
    </row>
    <row r="215" spans="1:18" x14ac:dyDescent="0.25">
      <c r="A215" s="38"/>
      <c r="B215" s="33" t="s">
        <v>232</v>
      </c>
      <c r="C215" s="229">
        <f>($E$174+$E$175+$E$176)/12</f>
        <v>0</v>
      </c>
      <c r="D215" s="229">
        <f t="shared" ref="D215:N215" si="38">($E$174+$E$175+$E$176)/12</f>
        <v>0</v>
      </c>
      <c r="E215" s="229">
        <f t="shared" si="38"/>
        <v>0</v>
      </c>
      <c r="F215" s="229">
        <f t="shared" si="38"/>
        <v>0</v>
      </c>
      <c r="G215" s="229">
        <f t="shared" si="38"/>
        <v>0</v>
      </c>
      <c r="H215" s="229">
        <f t="shared" si="38"/>
        <v>0</v>
      </c>
      <c r="I215" s="229">
        <f t="shared" si="38"/>
        <v>0</v>
      </c>
      <c r="J215" s="229">
        <f t="shared" si="38"/>
        <v>0</v>
      </c>
      <c r="K215" s="229">
        <f t="shared" si="38"/>
        <v>0</v>
      </c>
      <c r="L215" s="229">
        <f t="shared" si="38"/>
        <v>0</v>
      </c>
      <c r="M215" s="229">
        <f t="shared" si="38"/>
        <v>0</v>
      </c>
      <c r="N215" s="229">
        <f t="shared" si="38"/>
        <v>0</v>
      </c>
      <c r="O215" s="229">
        <f>SUM(C215:N215)</f>
        <v>0</v>
      </c>
      <c r="P215" s="254"/>
      <c r="Q215" s="31"/>
      <c r="R215" s="39"/>
    </row>
    <row r="216" spans="1:18" x14ac:dyDescent="0.25">
      <c r="A216" s="38"/>
      <c r="B216" s="33" t="s">
        <v>233</v>
      </c>
      <c r="C216" s="229">
        <f>(SUM($E$177:$E$179))/4</f>
        <v>0</v>
      </c>
      <c r="D216" s="229"/>
      <c r="E216" s="229"/>
      <c r="F216" s="229">
        <f>(SUM($E$177:$E$179))/4</f>
        <v>0</v>
      </c>
      <c r="G216" s="229"/>
      <c r="H216" s="229"/>
      <c r="I216" s="229">
        <f>(SUM($E$177:$E$179))/4</f>
        <v>0</v>
      </c>
      <c r="J216" s="229"/>
      <c r="K216" s="229"/>
      <c r="L216" s="229">
        <f>(SUM($E$177:$E$179))/4</f>
        <v>0</v>
      </c>
      <c r="M216" s="229"/>
      <c r="N216" s="229"/>
      <c r="O216" s="229">
        <f t="shared" ref="O216:O225" si="39">SUM(C216:N216)</f>
        <v>0</v>
      </c>
      <c r="P216" s="254"/>
      <c r="Q216" s="31"/>
      <c r="R216" s="39"/>
    </row>
    <row r="217" spans="1:18" x14ac:dyDescent="0.25">
      <c r="A217" s="38"/>
      <c r="B217" s="33" t="s">
        <v>234</v>
      </c>
      <c r="C217" s="229">
        <f>SUM($E$180:$E$182)</f>
        <v>0</v>
      </c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>
        <f t="shared" si="39"/>
        <v>0</v>
      </c>
      <c r="P217" s="254"/>
      <c r="Q217" s="31"/>
      <c r="R217" s="39"/>
    </row>
    <row r="218" spans="1:18" x14ac:dyDescent="0.25">
      <c r="A218" s="38"/>
      <c r="B218" s="33" t="s">
        <v>235</v>
      </c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>
        <f>SUM(E183:E185)</f>
        <v>0</v>
      </c>
      <c r="O218" s="229">
        <f t="shared" si="39"/>
        <v>0</v>
      </c>
      <c r="P218" s="254"/>
      <c r="Q218" s="31"/>
      <c r="R218" s="39"/>
    </row>
    <row r="219" spans="1:18" x14ac:dyDescent="0.25">
      <c r="A219" s="38"/>
      <c r="B219" s="33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>
        <f t="shared" si="39"/>
        <v>0</v>
      </c>
      <c r="P219" s="254"/>
      <c r="Q219" s="31"/>
      <c r="R219" s="39"/>
    </row>
    <row r="220" spans="1:18" x14ac:dyDescent="0.25">
      <c r="A220" s="38"/>
      <c r="B220" s="33" t="s">
        <v>236</v>
      </c>
      <c r="C220" s="229">
        <f>($E$174/12)+($D$175/12)+($D$176/12)</f>
        <v>0</v>
      </c>
      <c r="D220" s="229">
        <f>($E$174/12)+($E$175/12)+($D$176/12)</f>
        <v>0</v>
      </c>
      <c r="E220" s="229">
        <f>($E$174/12)+($E$175/12)+($E$176/12)</f>
        <v>0</v>
      </c>
      <c r="F220" s="229">
        <f t="shared" ref="F220:N220" si="40">($E$174/12)+($E$175/12)+($E$176/12)</f>
        <v>0</v>
      </c>
      <c r="G220" s="229">
        <f t="shared" si="40"/>
        <v>0</v>
      </c>
      <c r="H220" s="229">
        <f t="shared" si="40"/>
        <v>0</v>
      </c>
      <c r="I220" s="229">
        <f t="shared" si="40"/>
        <v>0</v>
      </c>
      <c r="J220" s="229">
        <f t="shared" si="40"/>
        <v>0</v>
      </c>
      <c r="K220" s="229">
        <f t="shared" si="40"/>
        <v>0</v>
      </c>
      <c r="L220" s="229">
        <f t="shared" si="40"/>
        <v>0</v>
      </c>
      <c r="M220" s="229">
        <f t="shared" si="40"/>
        <v>0</v>
      </c>
      <c r="N220" s="229">
        <f t="shared" si="40"/>
        <v>0</v>
      </c>
      <c r="O220" s="229">
        <f t="shared" si="39"/>
        <v>0</v>
      </c>
      <c r="P220" s="254">
        <f>($E$175/12)+(($E$176/12)*2)</f>
        <v>0</v>
      </c>
      <c r="Q220" s="31"/>
      <c r="R220" s="39"/>
    </row>
    <row r="221" spans="1:18" x14ac:dyDescent="0.25">
      <c r="A221" s="38"/>
      <c r="B221" s="33" t="s">
        <v>237</v>
      </c>
      <c r="C221" s="229">
        <f>$E$177/4</f>
        <v>0</v>
      </c>
      <c r="D221" s="229">
        <f>$E$178/4</f>
        <v>0</v>
      </c>
      <c r="E221" s="229">
        <f>$E$179/4</f>
        <v>0</v>
      </c>
      <c r="F221" s="229">
        <f>$E$177/4</f>
        <v>0</v>
      </c>
      <c r="G221" s="229">
        <f>$E$178/4</f>
        <v>0</v>
      </c>
      <c r="H221" s="229">
        <f>$E$179/4</f>
        <v>0</v>
      </c>
      <c r="I221" s="229">
        <f>$E$177/4</f>
        <v>0</v>
      </c>
      <c r="J221" s="229">
        <f>$E$178/4</f>
        <v>0</v>
      </c>
      <c r="K221" s="229">
        <f>$E$179/4</f>
        <v>0</v>
      </c>
      <c r="L221" s="229">
        <f>$E$177/4</f>
        <v>0</v>
      </c>
      <c r="M221" s="229">
        <f>$E$178/4</f>
        <v>0</v>
      </c>
      <c r="N221" s="229">
        <f>$E$179/4</f>
        <v>0</v>
      </c>
      <c r="O221" s="229">
        <f t="shared" si="39"/>
        <v>0</v>
      </c>
      <c r="P221" s="254"/>
      <c r="Q221" s="31"/>
      <c r="R221" s="39"/>
    </row>
    <row r="222" spans="1:18" x14ac:dyDescent="0.25">
      <c r="A222" s="38"/>
      <c r="B222" s="33" t="s">
        <v>238</v>
      </c>
      <c r="C222" s="229">
        <f>$E$180</f>
        <v>0</v>
      </c>
      <c r="D222" s="229">
        <f>$E$181</f>
        <v>0</v>
      </c>
      <c r="E222" s="229">
        <f>$E$182</f>
        <v>0</v>
      </c>
      <c r="F222" s="229"/>
      <c r="G222" s="229"/>
      <c r="H222" s="229"/>
      <c r="I222" s="229"/>
      <c r="J222" s="229"/>
      <c r="K222" s="229"/>
      <c r="L222" s="229"/>
      <c r="M222" s="229"/>
      <c r="N222" s="229"/>
      <c r="O222" s="229">
        <f t="shared" si="39"/>
        <v>0</v>
      </c>
      <c r="P222" s="254"/>
      <c r="Q222" s="31"/>
      <c r="R222" s="39"/>
    </row>
    <row r="223" spans="1:18" x14ac:dyDescent="0.25">
      <c r="A223" s="38"/>
      <c r="B223" s="33" t="s">
        <v>239</v>
      </c>
      <c r="C223" s="229">
        <f>D184</f>
        <v>0</v>
      </c>
      <c r="D223" s="229">
        <f>D185</f>
        <v>0</v>
      </c>
      <c r="E223" s="229"/>
      <c r="F223" s="229"/>
      <c r="G223" s="229"/>
      <c r="H223" s="229"/>
      <c r="I223" s="229"/>
      <c r="J223" s="229"/>
      <c r="K223" s="229"/>
      <c r="L223" s="229"/>
      <c r="M223" s="229"/>
      <c r="N223" s="229">
        <f>$E$183</f>
        <v>0</v>
      </c>
      <c r="O223" s="229">
        <f t="shared" si="39"/>
        <v>0</v>
      </c>
      <c r="P223" s="254">
        <f>$E$184+$E$185</f>
        <v>0</v>
      </c>
      <c r="Q223" s="31"/>
      <c r="R223" s="39"/>
    </row>
    <row r="224" spans="1:18" x14ac:dyDescent="0.25">
      <c r="A224" s="38"/>
      <c r="B224" s="33" t="s">
        <v>241</v>
      </c>
      <c r="C224" s="229">
        <f>+SUM(C220:C223)</f>
        <v>0</v>
      </c>
      <c r="D224" s="229">
        <f t="shared" ref="D224" si="41">+SUM(D220:D223)</f>
        <v>0</v>
      </c>
      <c r="E224" s="229">
        <f t="shared" ref="E224" si="42">+SUM(E220:E223)</f>
        <v>0</v>
      </c>
      <c r="F224" s="229">
        <f t="shared" ref="F224" si="43">+SUM(F220:F223)</f>
        <v>0</v>
      </c>
      <c r="G224" s="229">
        <f t="shared" ref="G224" si="44">+SUM(G220:G223)</f>
        <v>0</v>
      </c>
      <c r="H224" s="229">
        <f t="shared" ref="H224" si="45">+SUM(H220:H223)</f>
        <v>0</v>
      </c>
      <c r="I224" s="229">
        <f t="shared" ref="I224" si="46">+SUM(I220:I223)</f>
        <v>0</v>
      </c>
      <c r="J224" s="229">
        <f t="shared" ref="J224" si="47">+SUM(J220:J223)</f>
        <v>0</v>
      </c>
      <c r="K224" s="229">
        <f t="shared" ref="K224" si="48">+SUM(K220:K223)</f>
        <v>0</v>
      </c>
      <c r="L224" s="229">
        <f t="shared" ref="L224" si="49">+SUM(L220:L223)</f>
        <v>0</v>
      </c>
      <c r="M224" s="229">
        <f t="shared" ref="M224" si="50">+SUM(M220:M223)</f>
        <v>0</v>
      </c>
      <c r="N224" s="229">
        <f t="shared" ref="N224" si="51">+SUM(N220:N223)</f>
        <v>0</v>
      </c>
      <c r="O224" s="229">
        <f t="shared" si="39"/>
        <v>0</v>
      </c>
      <c r="P224" s="254"/>
      <c r="Q224" s="31"/>
      <c r="R224" s="39"/>
    </row>
    <row r="225" spans="1:18" x14ac:dyDescent="0.25">
      <c r="A225" s="38"/>
      <c r="B225" s="33" t="s">
        <v>242</v>
      </c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>
        <f t="shared" si="39"/>
        <v>0</v>
      </c>
      <c r="P225" s="254">
        <f>SUM(P220:P223)</f>
        <v>0</v>
      </c>
      <c r="Q225" s="31"/>
      <c r="R225" s="39"/>
    </row>
    <row r="226" spans="1:18" x14ac:dyDescent="0.25">
      <c r="A226" s="38"/>
      <c r="B226" s="2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9"/>
    </row>
    <row r="227" spans="1:18" x14ac:dyDescent="0.25">
      <c r="A227" s="38"/>
      <c r="B227" s="2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9"/>
    </row>
    <row r="228" spans="1:18" ht="18.75" x14ac:dyDescent="0.3">
      <c r="A228" s="38"/>
      <c r="B228" s="81" t="s">
        <v>37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9"/>
    </row>
    <row r="229" spans="1:18" x14ac:dyDescent="0.25">
      <c r="A229" s="38"/>
      <c r="B229" s="2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9"/>
    </row>
    <row r="230" spans="1:18" ht="21" customHeight="1" x14ac:dyDescent="0.25">
      <c r="A230" s="38"/>
      <c r="B230" s="29"/>
      <c r="C230" s="411" t="s">
        <v>265</v>
      </c>
      <c r="D230" s="408" t="s">
        <v>261</v>
      </c>
      <c r="E230" s="408"/>
      <c r="F230" s="408"/>
      <c r="G230" s="408"/>
      <c r="H230" s="408"/>
      <c r="I230" s="408"/>
      <c r="J230" s="31"/>
      <c r="K230" s="31"/>
      <c r="L230" s="31"/>
      <c r="M230" s="31"/>
      <c r="N230" s="31"/>
      <c r="O230" s="31"/>
      <c r="P230" s="31"/>
      <c r="Q230" s="31"/>
      <c r="R230" s="39"/>
    </row>
    <row r="231" spans="1:18" ht="48" customHeight="1" x14ac:dyDescent="0.25">
      <c r="A231" s="38"/>
      <c r="B231" s="29"/>
      <c r="C231" s="412"/>
      <c r="D231" s="145" t="s">
        <v>110</v>
      </c>
      <c r="E231" s="146" t="s">
        <v>269</v>
      </c>
      <c r="F231" s="145" t="s">
        <v>266</v>
      </c>
      <c r="G231" s="145" t="s">
        <v>267</v>
      </c>
      <c r="H231" s="145" t="s">
        <v>268</v>
      </c>
      <c r="I231" s="146" t="s">
        <v>270</v>
      </c>
      <c r="J231" s="31"/>
      <c r="K231" s="31"/>
      <c r="L231" s="31"/>
      <c r="M231" s="31"/>
      <c r="N231" s="31"/>
      <c r="O231" s="31"/>
      <c r="P231" s="31"/>
      <c r="Q231" s="31"/>
      <c r="R231" s="39"/>
    </row>
    <row r="232" spans="1:18" x14ac:dyDescent="0.25">
      <c r="A232" s="38"/>
      <c r="B232" s="413" t="s">
        <v>146</v>
      </c>
      <c r="C232" s="117" t="s">
        <v>149</v>
      </c>
      <c r="D232" s="54">
        <f>IF(AND($M$240="Année 1",$M$242="Mois 1"),$M$244,0)</f>
        <v>0</v>
      </c>
      <c r="E232" s="54">
        <f>D232</f>
        <v>0</v>
      </c>
      <c r="F232" s="120">
        <f t="shared" ref="F232:F254" si="52">IF(E232&gt;$M$238,$M$238,E232+G232)</f>
        <v>0</v>
      </c>
      <c r="G232" s="120">
        <f>E232*$M$234</f>
        <v>0</v>
      </c>
      <c r="H232" s="120">
        <f>F232-G232</f>
        <v>0</v>
      </c>
      <c r="I232" s="120">
        <f>E232-H232</f>
        <v>0</v>
      </c>
      <c r="J232" s="31"/>
      <c r="K232" s="31" t="s">
        <v>272</v>
      </c>
      <c r="L232" s="31"/>
      <c r="M232" s="119">
        <f>Financements!F42</f>
        <v>0</v>
      </c>
      <c r="N232" s="31"/>
      <c r="O232" s="31"/>
      <c r="P232" s="31"/>
      <c r="Q232" s="31"/>
      <c r="R232" s="39"/>
    </row>
    <row r="233" spans="1:18" x14ac:dyDescent="0.25">
      <c r="A233" s="38"/>
      <c r="B233" s="413"/>
      <c r="C233" s="117" t="s">
        <v>150</v>
      </c>
      <c r="D233" s="54">
        <f>IF(AND($M$240="Année 1",$M$242="Mois 2"),$M$244,0)</f>
        <v>0</v>
      </c>
      <c r="E233" s="54">
        <f>IF(I232&gt;0,I232,D233)</f>
        <v>0</v>
      </c>
      <c r="F233" s="120">
        <f t="shared" si="52"/>
        <v>0</v>
      </c>
      <c r="G233" s="120">
        <f t="shared" ref="G233:G267" si="53">E233*$M$234</f>
        <v>0</v>
      </c>
      <c r="H233" s="120">
        <f t="shared" ref="H233:H267" si="54">F233-G233</f>
        <v>0</v>
      </c>
      <c r="I233" s="120">
        <f t="shared" ref="I233:I267" si="55">E233-H233</f>
        <v>0</v>
      </c>
      <c r="J233" s="31"/>
      <c r="K233" s="31"/>
      <c r="L233" s="31"/>
      <c r="M233" s="31"/>
      <c r="N233" s="31"/>
      <c r="O233" s="31"/>
      <c r="P233" s="31"/>
      <c r="Q233" s="31"/>
      <c r="R233" s="39"/>
    </row>
    <row r="234" spans="1:18" x14ac:dyDescent="0.25">
      <c r="A234" s="38"/>
      <c r="B234" s="413"/>
      <c r="C234" s="117" t="s">
        <v>151</v>
      </c>
      <c r="D234" s="54">
        <f>IF(AND($M$240="Année 1",$M$242="Mois 3"),$M$244,0)</f>
        <v>0</v>
      </c>
      <c r="E234" s="54">
        <f t="shared" ref="E234:E267" si="56">IF(I233&gt;0,I233,D234)</f>
        <v>0</v>
      </c>
      <c r="F234" s="120">
        <f t="shared" si="52"/>
        <v>0</v>
      </c>
      <c r="G234" s="120">
        <f t="shared" si="53"/>
        <v>0</v>
      </c>
      <c r="H234" s="120">
        <f t="shared" si="54"/>
        <v>0</v>
      </c>
      <c r="I234" s="120">
        <f t="shared" si="55"/>
        <v>0</v>
      </c>
      <c r="J234" s="31"/>
      <c r="K234" s="31" t="s">
        <v>273</v>
      </c>
      <c r="L234" s="31"/>
      <c r="M234" s="119">
        <f>M232/12</f>
        <v>0</v>
      </c>
      <c r="N234" s="31"/>
      <c r="O234" s="31"/>
      <c r="P234" s="31"/>
      <c r="Q234" s="31"/>
      <c r="R234" s="39"/>
    </row>
    <row r="235" spans="1:18" x14ac:dyDescent="0.25">
      <c r="A235" s="38"/>
      <c r="B235" s="413"/>
      <c r="C235" s="117" t="s">
        <v>152</v>
      </c>
      <c r="D235" s="54">
        <f>IF(AND($M$240="Année 1",$M$242="Mois 4"),$M$244,0)</f>
        <v>0</v>
      </c>
      <c r="E235" s="54">
        <f t="shared" si="56"/>
        <v>0</v>
      </c>
      <c r="F235" s="120">
        <f t="shared" si="52"/>
        <v>0</v>
      </c>
      <c r="G235" s="120">
        <f t="shared" si="53"/>
        <v>0</v>
      </c>
      <c r="H235" s="120">
        <f t="shared" si="54"/>
        <v>0</v>
      </c>
      <c r="I235" s="120">
        <f t="shared" si="55"/>
        <v>0</v>
      </c>
      <c r="J235" s="31"/>
      <c r="K235" s="31"/>
      <c r="L235" s="31"/>
      <c r="M235" s="31"/>
      <c r="N235" s="31"/>
      <c r="O235" s="31"/>
      <c r="P235" s="31"/>
      <c r="Q235" s="31"/>
      <c r="R235" s="39"/>
    </row>
    <row r="236" spans="1:18" x14ac:dyDescent="0.25">
      <c r="A236" s="38"/>
      <c r="B236" s="413"/>
      <c r="C236" s="117" t="s">
        <v>153</v>
      </c>
      <c r="D236" s="54">
        <f>IF(AND($M$240="Année 1",$M$242="Mois 5"),$M$244,0)</f>
        <v>0</v>
      </c>
      <c r="E236" s="54">
        <f t="shared" si="56"/>
        <v>0</v>
      </c>
      <c r="F236" s="120">
        <f t="shared" si="52"/>
        <v>0</v>
      </c>
      <c r="G236" s="120">
        <f t="shared" si="53"/>
        <v>0</v>
      </c>
      <c r="H236" s="120">
        <f t="shared" si="54"/>
        <v>0</v>
      </c>
      <c r="I236" s="120">
        <f t="shared" si="55"/>
        <v>0</v>
      </c>
      <c r="J236" s="31"/>
      <c r="K236" s="31" t="s">
        <v>274</v>
      </c>
      <c r="L236" s="31"/>
      <c r="M236" s="117">
        <f>Financements!G42</f>
        <v>0</v>
      </c>
      <c r="N236" s="31"/>
      <c r="O236" s="31"/>
      <c r="P236" s="31"/>
      <c r="Q236" s="31"/>
      <c r="R236" s="39"/>
    </row>
    <row r="237" spans="1:18" x14ac:dyDescent="0.25">
      <c r="A237" s="38"/>
      <c r="B237" s="413"/>
      <c r="C237" s="117" t="s">
        <v>154</v>
      </c>
      <c r="D237" s="54">
        <f>IF(AND($M$240="Année 1",$M$242="Mois 6"),$M$244,0)</f>
        <v>0</v>
      </c>
      <c r="E237" s="54">
        <f t="shared" si="56"/>
        <v>0</v>
      </c>
      <c r="F237" s="120">
        <f t="shared" si="52"/>
        <v>0</v>
      </c>
      <c r="G237" s="120">
        <f t="shared" si="53"/>
        <v>0</v>
      </c>
      <c r="H237" s="120">
        <f t="shared" si="54"/>
        <v>0</v>
      </c>
      <c r="I237" s="120">
        <f t="shared" si="55"/>
        <v>0</v>
      </c>
      <c r="J237" s="31"/>
      <c r="K237" s="31"/>
      <c r="L237" s="31"/>
      <c r="M237" s="31"/>
      <c r="N237" s="31"/>
      <c r="O237" s="31"/>
      <c r="P237" s="31"/>
      <c r="Q237" s="31"/>
      <c r="R237" s="39"/>
    </row>
    <row r="238" spans="1:18" x14ac:dyDescent="0.25">
      <c r="A238" s="38"/>
      <c r="B238" s="413"/>
      <c r="C238" s="117" t="s">
        <v>155</v>
      </c>
      <c r="D238" s="54">
        <f>IF(AND($M$240="Année 1",$M$242="Mois 7"),$M$244,0)</f>
        <v>0</v>
      </c>
      <c r="E238" s="54">
        <f t="shared" si="56"/>
        <v>0</v>
      </c>
      <c r="F238" s="120">
        <f t="shared" si="52"/>
        <v>0</v>
      </c>
      <c r="G238" s="120">
        <f t="shared" si="53"/>
        <v>0</v>
      </c>
      <c r="H238" s="120">
        <f t="shared" si="54"/>
        <v>0</v>
      </c>
      <c r="I238" s="120">
        <f t="shared" si="55"/>
        <v>0</v>
      </c>
      <c r="J238" s="31"/>
      <c r="K238" s="31" t="s">
        <v>266</v>
      </c>
      <c r="L238" s="31"/>
      <c r="M238" s="120">
        <f>IF(Financements!$C$42=0,0,(M244*(M234)*(1+M234)^M236)/(((1+M234)^M236)-1))</f>
        <v>0</v>
      </c>
      <c r="N238" s="31"/>
      <c r="O238" s="31"/>
      <c r="P238" s="31"/>
      <c r="Q238" s="31"/>
      <c r="R238" s="39"/>
    </row>
    <row r="239" spans="1:18" x14ac:dyDescent="0.25">
      <c r="A239" s="38"/>
      <c r="B239" s="413"/>
      <c r="C239" s="117" t="s">
        <v>156</v>
      </c>
      <c r="D239" s="54">
        <f>IF(AND($M$240="Année 1",$M$242="Mois 8"),$M$244,0)</f>
        <v>0</v>
      </c>
      <c r="E239" s="54">
        <f t="shared" si="56"/>
        <v>0</v>
      </c>
      <c r="F239" s="120">
        <f t="shared" si="52"/>
        <v>0</v>
      </c>
      <c r="G239" s="120">
        <f t="shared" si="53"/>
        <v>0</v>
      </c>
      <c r="H239" s="120">
        <f t="shared" si="54"/>
        <v>0</v>
      </c>
      <c r="I239" s="120">
        <f t="shared" si="55"/>
        <v>0</v>
      </c>
      <c r="J239" s="31"/>
      <c r="K239" s="31"/>
      <c r="L239" s="31"/>
      <c r="M239" s="31"/>
      <c r="N239" s="31"/>
      <c r="O239" s="31"/>
      <c r="P239" s="31"/>
      <c r="Q239" s="31"/>
      <c r="R239" s="39"/>
    </row>
    <row r="240" spans="1:18" x14ac:dyDescent="0.25">
      <c r="A240" s="38"/>
      <c r="B240" s="413"/>
      <c r="C240" s="117" t="s">
        <v>157</v>
      </c>
      <c r="D240" s="54">
        <f>IF(AND($M$240="Année 1",$M$242="Mois 9"),$M$244,0)</f>
        <v>0</v>
      </c>
      <c r="E240" s="54">
        <f t="shared" si="56"/>
        <v>0</v>
      </c>
      <c r="F240" s="120">
        <f t="shared" si="52"/>
        <v>0</v>
      </c>
      <c r="G240" s="120">
        <f t="shared" si="53"/>
        <v>0</v>
      </c>
      <c r="H240" s="120">
        <f t="shared" si="54"/>
        <v>0</v>
      </c>
      <c r="I240" s="120">
        <f t="shared" si="55"/>
        <v>0</v>
      </c>
      <c r="J240" s="31"/>
      <c r="K240" s="31" t="s">
        <v>275</v>
      </c>
      <c r="L240" s="31"/>
      <c r="M240" s="147" t="str">
        <f>Financements!D42</f>
        <v>Année 1</v>
      </c>
      <c r="N240" s="31"/>
      <c r="O240" s="31"/>
      <c r="P240" s="31"/>
      <c r="Q240" s="31"/>
      <c r="R240" s="39"/>
    </row>
    <row r="241" spans="1:18" x14ac:dyDescent="0.25">
      <c r="A241" s="38"/>
      <c r="B241" s="413"/>
      <c r="C241" s="117" t="s">
        <v>158</v>
      </c>
      <c r="D241" s="54">
        <f>IF(AND($M$240="Année 1",$M$242="Mois 10"),$M$244,0)</f>
        <v>0</v>
      </c>
      <c r="E241" s="54">
        <f t="shared" si="56"/>
        <v>0</v>
      </c>
      <c r="F241" s="120">
        <f t="shared" si="52"/>
        <v>0</v>
      </c>
      <c r="G241" s="120">
        <f t="shared" si="53"/>
        <v>0</v>
      </c>
      <c r="H241" s="120">
        <f t="shared" si="54"/>
        <v>0</v>
      </c>
      <c r="I241" s="120">
        <f t="shared" si="55"/>
        <v>0</v>
      </c>
      <c r="J241" s="31"/>
      <c r="K241" s="31"/>
      <c r="L241" s="31"/>
      <c r="M241" s="148"/>
      <c r="N241" s="31"/>
      <c r="O241" s="31"/>
      <c r="P241" s="31"/>
      <c r="Q241" s="31"/>
      <c r="R241" s="39"/>
    </row>
    <row r="242" spans="1:18" x14ac:dyDescent="0.25">
      <c r="A242" s="38"/>
      <c r="B242" s="413"/>
      <c r="C242" s="117" t="s">
        <v>159</v>
      </c>
      <c r="D242" s="54">
        <f>IF(AND($M$240="Année 1",$M$242="Mois 11"),$M$244,0)</f>
        <v>0</v>
      </c>
      <c r="E242" s="54">
        <f t="shared" si="56"/>
        <v>0</v>
      </c>
      <c r="F242" s="120">
        <f t="shared" si="52"/>
        <v>0</v>
      </c>
      <c r="G242" s="120">
        <f t="shared" si="53"/>
        <v>0</v>
      </c>
      <c r="H242" s="120">
        <f t="shared" si="54"/>
        <v>0</v>
      </c>
      <c r="I242" s="120">
        <f t="shared" si="55"/>
        <v>0</v>
      </c>
      <c r="J242" s="31"/>
      <c r="K242" s="31" t="s">
        <v>276</v>
      </c>
      <c r="L242" s="31"/>
      <c r="M242" s="149" t="str">
        <f>Financements!E42</f>
        <v>Mois 1</v>
      </c>
      <c r="N242" s="31"/>
      <c r="O242" s="31"/>
      <c r="P242" s="31"/>
      <c r="Q242" s="31"/>
      <c r="R242" s="39"/>
    </row>
    <row r="243" spans="1:18" x14ac:dyDescent="0.25">
      <c r="A243" s="38"/>
      <c r="B243" s="413"/>
      <c r="C243" s="117" t="s">
        <v>160</v>
      </c>
      <c r="D243" s="54">
        <f>IF(AND($M$240="Année 1",$M$242="Mois 12"),$M$244,0)</f>
        <v>0</v>
      </c>
      <c r="E243" s="54">
        <f t="shared" si="56"/>
        <v>0</v>
      </c>
      <c r="F243" s="120">
        <f t="shared" si="52"/>
        <v>0</v>
      </c>
      <c r="G243" s="120">
        <f t="shared" si="53"/>
        <v>0</v>
      </c>
      <c r="H243" s="120">
        <f t="shared" si="54"/>
        <v>0</v>
      </c>
      <c r="I243" s="120">
        <f t="shared" si="55"/>
        <v>0</v>
      </c>
      <c r="J243" s="31"/>
      <c r="K243" s="31"/>
      <c r="L243" s="31"/>
      <c r="M243" s="31"/>
      <c r="N243" s="31"/>
      <c r="O243" s="31"/>
      <c r="P243" s="31"/>
      <c r="Q243" s="31"/>
      <c r="R243" s="39"/>
    </row>
    <row r="244" spans="1:18" x14ac:dyDescent="0.25">
      <c r="A244" s="38"/>
      <c r="B244" s="413" t="s">
        <v>147</v>
      </c>
      <c r="C244" s="117" t="s">
        <v>149</v>
      </c>
      <c r="D244" s="54">
        <f>IF(AND($M$240="Année 2",$M$242="Mois 1"),$M$244,0)</f>
        <v>0</v>
      </c>
      <c r="E244" s="54">
        <f t="shared" si="56"/>
        <v>0</v>
      </c>
      <c r="F244" s="120">
        <f t="shared" si="52"/>
        <v>0</v>
      </c>
      <c r="G244" s="120">
        <f t="shared" si="53"/>
        <v>0</v>
      </c>
      <c r="H244" s="120">
        <f t="shared" si="54"/>
        <v>0</v>
      </c>
      <c r="I244" s="120">
        <f t="shared" si="55"/>
        <v>0</v>
      </c>
      <c r="J244" s="31"/>
      <c r="K244" s="31" t="s">
        <v>277</v>
      </c>
      <c r="L244" s="31"/>
      <c r="M244" s="120">
        <f>Financements!C42</f>
        <v>0</v>
      </c>
      <c r="N244" s="31"/>
      <c r="O244" s="31"/>
      <c r="P244" s="31"/>
      <c r="Q244" s="31"/>
      <c r="R244" s="39"/>
    </row>
    <row r="245" spans="1:18" x14ac:dyDescent="0.25">
      <c r="A245" s="38"/>
      <c r="B245" s="413"/>
      <c r="C245" s="117" t="s">
        <v>150</v>
      </c>
      <c r="D245" s="54">
        <f>IF(AND($M$240="Année 2",$M$242="Mois 2"),$M$244,0)</f>
        <v>0</v>
      </c>
      <c r="E245" s="54">
        <f t="shared" si="56"/>
        <v>0</v>
      </c>
      <c r="F245" s="120">
        <f t="shared" si="52"/>
        <v>0</v>
      </c>
      <c r="G245" s="120">
        <f t="shared" si="53"/>
        <v>0</v>
      </c>
      <c r="H245" s="120">
        <f t="shared" si="54"/>
        <v>0</v>
      </c>
      <c r="I245" s="120">
        <f t="shared" si="55"/>
        <v>0</v>
      </c>
      <c r="J245" s="31"/>
      <c r="K245" s="31"/>
      <c r="L245" s="31"/>
      <c r="M245" s="31"/>
      <c r="N245" s="31"/>
      <c r="O245" s="31"/>
      <c r="P245" s="31"/>
      <c r="Q245" s="31"/>
      <c r="R245" s="39"/>
    </row>
    <row r="246" spans="1:18" x14ac:dyDescent="0.25">
      <c r="A246" s="38"/>
      <c r="B246" s="413"/>
      <c r="C246" s="117" t="s">
        <v>151</v>
      </c>
      <c r="D246" s="54">
        <f>IF(AND($M$240="Année 2",$M$242="Mois 3"),$M$244,0)</f>
        <v>0</v>
      </c>
      <c r="E246" s="54">
        <f t="shared" si="56"/>
        <v>0</v>
      </c>
      <c r="F246" s="120">
        <f t="shared" si="52"/>
        <v>0</v>
      </c>
      <c r="G246" s="120">
        <f t="shared" si="53"/>
        <v>0</v>
      </c>
      <c r="H246" s="120">
        <f t="shared" si="54"/>
        <v>0</v>
      </c>
      <c r="I246" s="120">
        <f t="shared" si="55"/>
        <v>0</v>
      </c>
      <c r="J246" s="31"/>
      <c r="K246" s="31"/>
      <c r="L246" s="31"/>
      <c r="M246" s="31"/>
      <c r="N246" s="31"/>
      <c r="O246" s="31"/>
      <c r="P246" s="31"/>
      <c r="Q246" s="31"/>
      <c r="R246" s="39"/>
    </row>
    <row r="247" spans="1:18" x14ac:dyDescent="0.25">
      <c r="A247" s="38"/>
      <c r="B247" s="413"/>
      <c r="C247" s="117" t="s">
        <v>152</v>
      </c>
      <c r="D247" s="54">
        <f>IF(AND($M$240="Année 2",$M$242="Mois 4"),$M$244,0)</f>
        <v>0</v>
      </c>
      <c r="E247" s="54">
        <f t="shared" si="56"/>
        <v>0</v>
      </c>
      <c r="F247" s="120">
        <f t="shared" si="52"/>
        <v>0</v>
      </c>
      <c r="G247" s="120">
        <f t="shared" si="53"/>
        <v>0</v>
      </c>
      <c r="H247" s="120">
        <f t="shared" si="54"/>
        <v>0</v>
      </c>
      <c r="I247" s="120">
        <f t="shared" si="55"/>
        <v>0</v>
      </c>
      <c r="J247" s="31"/>
      <c r="K247" s="31" t="s">
        <v>278</v>
      </c>
      <c r="L247" s="31"/>
      <c r="M247" s="120">
        <f>IF(Financements!$C$42=0,0,SUM(G232:G243))</f>
        <v>0</v>
      </c>
      <c r="N247" s="31"/>
      <c r="O247" s="31"/>
      <c r="P247" s="31"/>
      <c r="Q247" s="31"/>
      <c r="R247" s="39"/>
    </row>
    <row r="248" spans="1:18" x14ac:dyDescent="0.25">
      <c r="A248" s="38"/>
      <c r="B248" s="413"/>
      <c r="C248" s="117" t="s">
        <v>153</v>
      </c>
      <c r="D248" s="54">
        <f>IF(AND($M$240="Année 2",$M$242="Mois 5"),$M$244,0)</f>
        <v>0</v>
      </c>
      <c r="E248" s="54">
        <f t="shared" si="56"/>
        <v>0</v>
      </c>
      <c r="F248" s="120">
        <f t="shared" si="52"/>
        <v>0</v>
      </c>
      <c r="G248" s="120">
        <f t="shared" si="53"/>
        <v>0</v>
      </c>
      <c r="H248" s="120">
        <f t="shared" si="54"/>
        <v>0</v>
      </c>
      <c r="I248" s="120">
        <f t="shared" si="55"/>
        <v>0</v>
      </c>
      <c r="J248" s="31"/>
      <c r="K248" s="31" t="s">
        <v>279</v>
      </c>
      <c r="L248" s="31"/>
      <c r="M248" s="120">
        <f>IF(Financements!$C$42=0,0,SUM(G244:G255))</f>
        <v>0</v>
      </c>
      <c r="N248" s="31"/>
      <c r="O248" s="31"/>
      <c r="P248" s="31"/>
      <c r="Q248" s="31"/>
      <c r="R248" s="39"/>
    </row>
    <row r="249" spans="1:18" x14ac:dyDescent="0.25">
      <c r="A249" s="38"/>
      <c r="B249" s="413"/>
      <c r="C249" s="117" t="s">
        <v>154</v>
      </c>
      <c r="D249" s="54">
        <f>IF(AND($M$240="Année 2",$M$242="Mois 6"),$M$244,0)</f>
        <v>0</v>
      </c>
      <c r="E249" s="54">
        <f t="shared" si="56"/>
        <v>0</v>
      </c>
      <c r="F249" s="120">
        <f t="shared" si="52"/>
        <v>0</v>
      </c>
      <c r="G249" s="120">
        <f t="shared" si="53"/>
        <v>0</v>
      </c>
      <c r="H249" s="120">
        <f t="shared" si="54"/>
        <v>0</v>
      </c>
      <c r="I249" s="120">
        <f t="shared" si="55"/>
        <v>0</v>
      </c>
      <c r="J249" s="31"/>
      <c r="K249" s="31" t="s">
        <v>280</v>
      </c>
      <c r="L249" s="31"/>
      <c r="M249" s="120">
        <f>IF(Financements!$C$42=0,0,SUM(G256:G267))</f>
        <v>0</v>
      </c>
      <c r="N249" s="31"/>
      <c r="O249" s="31"/>
      <c r="P249" s="31"/>
      <c r="Q249" s="31"/>
      <c r="R249" s="39"/>
    </row>
    <row r="250" spans="1:18" x14ac:dyDescent="0.25">
      <c r="A250" s="38"/>
      <c r="B250" s="413"/>
      <c r="C250" s="117" t="s">
        <v>155</v>
      </c>
      <c r="D250" s="54">
        <f>IF(AND($M$240="Année 2",$M$242="Mois 7"),$M$244,0)</f>
        <v>0</v>
      </c>
      <c r="E250" s="54">
        <f t="shared" si="56"/>
        <v>0</v>
      </c>
      <c r="F250" s="120">
        <f t="shared" si="52"/>
        <v>0</v>
      </c>
      <c r="G250" s="120">
        <f t="shared" si="53"/>
        <v>0</v>
      </c>
      <c r="H250" s="120">
        <f t="shared" si="54"/>
        <v>0</v>
      </c>
      <c r="I250" s="120">
        <f t="shared" si="55"/>
        <v>0</v>
      </c>
      <c r="J250" s="31"/>
      <c r="K250" s="31"/>
      <c r="L250" s="31"/>
      <c r="M250" s="31"/>
      <c r="N250" s="31"/>
      <c r="O250" s="31"/>
      <c r="P250" s="31"/>
      <c r="Q250" s="31"/>
      <c r="R250" s="39"/>
    </row>
    <row r="251" spans="1:18" x14ac:dyDescent="0.25">
      <c r="A251" s="38"/>
      <c r="B251" s="413"/>
      <c r="C251" s="117" t="s">
        <v>156</v>
      </c>
      <c r="D251" s="54">
        <f>IF(AND($M$240="Année 2",$M$242="Mois 8"),$M$244,0)</f>
        <v>0</v>
      </c>
      <c r="E251" s="54">
        <f t="shared" si="56"/>
        <v>0</v>
      </c>
      <c r="F251" s="120">
        <f t="shared" si="52"/>
        <v>0</v>
      </c>
      <c r="G251" s="120">
        <f t="shared" si="53"/>
        <v>0</v>
      </c>
      <c r="H251" s="120">
        <f t="shared" si="54"/>
        <v>0</v>
      </c>
      <c r="I251" s="120">
        <f t="shared" si="55"/>
        <v>0</v>
      </c>
      <c r="J251" s="31"/>
      <c r="K251" s="31" t="s">
        <v>281</v>
      </c>
      <c r="L251" s="31"/>
      <c r="M251" s="120">
        <f>I243</f>
        <v>0</v>
      </c>
      <c r="N251" s="31"/>
      <c r="O251" s="31"/>
      <c r="P251" s="31"/>
      <c r="Q251" s="31"/>
      <c r="R251" s="39"/>
    </row>
    <row r="252" spans="1:18" x14ac:dyDescent="0.25">
      <c r="A252" s="38"/>
      <c r="B252" s="413"/>
      <c r="C252" s="117" t="s">
        <v>157</v>
      </c>
      <c r="D252" s="54">
        <f>IF(AND($M$240="Année 2",$M$242="Mois 9"),$M$244,0)</f>
        <v>0</v>
      </c>
      <c r="E252" s="54">
        <f t="shared" si="56"/>
        <v>0</v>
      </c>
      <c r="F252" s="120">
        <f t="shared" si="52"/>
        <v>0</v>
      </c>
      <c r="G252" s="120">
        <f t="shared" si="53"/>
        <v>0</v>
      </c>
      <c r="H252" s="120">
        <f t="shared" si="54"/>
        <v>0</v>
      </c>
      <c r="I252" s="120">
        <f t="shared" si="55"/>
        <v>0</v>
      </c>
      <c r="J252" s="31"/>
      <c r="K252" s="31" t="s">
        <v>282</v>
      </c>
      <c r="L252" s="31"/>
      <c r="M252" s="120">
        <f>I255</f>
        <v>0</v>
      </c>
      <c r="N252" s="31"/>
      <c r="O252" s="31"/>
      <c r="P252" s="31"/>
      <c r="Q252" s="31"/>
      <c r="R252" s="39"/>
    </row>
    <row r="253" spans="1:18" x14ac:dyDescent="0.25">
      <c r="A253" s="38"/>
      <c r="B253" s="413"/>
      <c r="C253" s="117" t="s">
        <v>158</v>
      </c>
      <c r="D253" s="54">
        <f>IF(AND($M$240="Année 2",$M$242="Mois 10"),$M$244,0)</f>
        <v>0</v>
      </c>
      <c r="E253" s="54">
        <f t="shared" si="56"/>
        <v>0</v>
      </c>
      <c r="F253" s="120">
        <f t="shared" si="52"/>
        <v>0</v>
      </c>
      <c r="G253" s="120">
        <f t="shared" si="53"/>
        <v>0</v>
      </c>
      <c r="H253" s="120">
        <f t="shared" si="54"/>
        <v>0</v>
      </c>
      <c r="I253" s="120">
        <f t="shared" si="55"/>
        <v>0</v>
      </c>
      <c r="J253" s="31"/>
      <c r="K253" s="31" t="s">
        <v>283</v>
      </c>
      <c r="L253" s="31"/>
      <c r="M253" s="120">
        <f>I267</f>
        <v>0</v>
      </c>
      <c r="N253" s="31"/>
      <c r="O253" s="31"/>
      <c r="P253" s="31"/>
      <c r="Q253" s="31"/>
      <c r="R253" s="39"/>
    </row>
    <row r="254" spans="1:18" x14ac:dyDescent="0.25">
      <c r="A254" s="38"/>
      <c r="B254" s="413"/>
      <c r="C254" s="117" t="s">
        <v>159</v>
      </c>
      <c r="D254" s="54">
        <f>IF(AND($M$240="Année 2",$M$242="Mois 11"),$M$244,0)</f>
        <v>0</v>
      </c>
      <c r="E254" s="54">
        <f t="shared" si="56"/>
        <v>0</v>
      </c>
      <c r="F254" s="120">
        <f t="shared" si="52"/>
        <v>0</v>
      </c>
      <c r="G254" s="120">
        <f t="shared" si="53"/>
        <v>0</v>
      </c>
      <c r="H254" s="120">
        <f t="shared" si="54"/>
        <v>0</v>
      </c>
      <c r="I254" s="120">
        <f t="shared" si="55"/>
        <v>0</v>
      </c>
      <c r="J254" s="31"/>
      <c r="K254" s="31"/>
      <c r="L254" s="31"/>
      <c r="M254" s="31"/>
      <c r="N254" s="31"/>
      <c r="O254" s="31"/>
      <c r="P254" s="31"/>
      <c r="Q254" s="31"/>
      <c r="R254" s="39"/>
    </row>
    <row r="255" spans="1:18" x14ac:dyDescent="0.25">
      <c r="A255" s="38"/>
      <c r="B255" s="413"/>
      <c r="C255" s="117" t="s">
        <v>160</v>
      </c>
      <c r="D255" s="54">
        <f>IF(AND($M$240="Année 2",$M$242="Mois 12"),$M$244,0)</f>
        <v>0</v>
      </c>
      <c r="E255" s="54">
        <f t="shared" si="56"/>
        <v>0</v>
      </c>
      <c r="F255" s="120">
        <f>IF(E255&gt;$M$238,$M$238,E255+G255)</f>
        <v>0</v>
      </c>
      <c r="G255" s="120">
        <f t="shared" si="53"/>
        <v>0</v>
      </c>
      <c r="H255" s="120">
        <f t="shared" si="54"/>
        <v>0</v>
      </c>
      <c r="I255" s="120">
        <f t="shared" si="55"/>
        <v>0</v>
      </c>
      <c r="J255" s="31"/>
      <c r="K255" s="31"/>
      <c r="L255" s="31"/>
      <c r="M255" s="31"/>
      <c r="N255" s="31"/>
      <c r="O255" s="31"/>
      <c r="P255" s="31"/>
      <c r="Q255" s="31"/>
      <c r="R255" s="39"/>
    </row>
    <row r="256" spans="1:18" x14ac:dyDescent="0.25">
      <c r="A256" s="38"/>
      <c r="B256" s="413" t="s">
        <v>148</v>
      </c>
      <c r="C256" s="117" t="s">
        <v>149</v>
      </c>
      <c r="D256" s="54">
        <f>IF(AND($M$240="Année 3",$M$242="Mois 1"),$M$244,0)</f>
        <v>0</v>
      </c>
      <c r="E256" s="54">
        <f t="shared" si="56"/>
        <v>0</v>
      </c>
      <c r="F256" s="120">
        <f t="shared" ref="F256:F267" si="57">IF(E256&gt;$M$238,$M$238,E256+G256)</f>
        <v>0</v>
      </c>
      <c r="G256" s="120">
        <f t="shared" si="53"/>
        <v>0</v>
      </c>
      <c r="H256" s="120">
        <f t="shared" si="54"/>
        <v>0</v>
      </c>
      <c r="I256" s="120">
        <f t="shared" si="55"/>
        <v>0</v>
      </c>
      <c r="J256" s="31"/>
      <c r="K256" s="31"/>
      <c r="L256" s="31"/>
      <c r="M256" s="31"/>
      <c r="N256" s="31"/>
      <c r="O256" s="31"/>
      <c r="P256" s="31"/>
      <c r="Q256" s="31"/>
      <c r="R256" s="39"/>
    </row>
    <row r="257" spans="1:18" x14ac:dyDescent="0.25">
      <c r="A257" s="38"/>
      <c r="B257" s="413"/>
      <c r="C257" s="117" t="s">
        <v>150</v>
      </c>
      <c r="D257" s="54">
        <f>IF(AND($M$240="Année 3",$M$242="Mois 2"),$M$244,0)</f>
        <v>0</v>
      </c>
      <c r="E257" s="54">
        <f t="shared" si="56"/>
        <v>0</v>
      </c>
      <c r="F257" s="120">
        <f t="shared" si="57"/>
        <v>0</v>
      </c>
      <c r="G257" s="120">
        <f t="shared" si="53"/>
        <v>0</v>
      </c>
      <c r="H257" s="120">
        <f t="shared" si="54"/>
        <v>0</v>
      </c>
      <c r="I257" s="120">
        <f t="shared" si="55"/>
        <v>0</v>
      </c>
      <c r="J257" s="31"/>
      <c r="K257" s="31"/>
      <c r="L257" s="31"/>
      <c r="M257" s="31"/>
      <c r="N257" s="31"/>
      <c r="O257" s="31"/>
      <c r="P257" s="31"/>
      <c r="Q257" s="31"/>
      <c r="R257" s="39"/>
    </row>
    <row r="258" spans="1:18" x14ac:dyDescent="0.25">
      <c r="A258" s="38"/>
      <c r="B258" s="413"/>
      <c r="C258" s="117" t="s">
        <v>151</v>
      </c>
      <c r="D258" s="54">
        <f>IF(AND($M$240="Année 3",$M$242="Mois 3"),$M$244,0)</f>
        <v>0</v>
      </c>
      <c r="E258" s="54">
        <f t="shared" si="56"/>
        <v>0</v>
      </c>
      <c r="F258" s="120">
        <f t="shared" si="57"/>
        <v>0</v>
      </c>
      <c r="G258" s="120">
        <f t="shared" si="53"/>
        <v>0</v>
      </c>
      <c r="H258" s="120">
        <f t="shared" si="54"/>
        <v>0</v>
      </c>
      <c r="I258" s="120">
        <f t="shared" si="55"/>
        <v>0</v>
      </c>
      <c r="J258" s="31"/>
      <c r="K258" s="31"/>
      <c r="L258" s="31"/>
      <c r="M258" s="31"/>
      <c r="N258" s="31"/>
      <c r="O258" s="31"/>
      <c r="P258" s="31"/>
      <c r="Q258" s="31"/>
      <c r="R258" s="39"/>
    </row>
    <row r="259" spans="1:18" x14ac:dyDescent="0.25">
      <c r="A259" s="38"/>
      <c r="B259" s="413"/>
      <c r="C259" s="117" t="s">
        <v>152</v>
      </c>
      <c r="D259" s="54">
        <f>IF(AND($M$240="Année 3",$M$242="Mois 4"),$M$244,0)</f>
        <v>0</v>
      </c>
      <c r="E259" s="54">
        <f t="shared" si="56"/>
        <v>0</v>
      </c>
      <c r="F259" s="120">
        <f t="shared" si="57"/>
        <v>0</v>
      </c>
      <c r="G259" s="120">
        <f t="shared" si="53"/>
        <v>0</v>
      </c>
      <c r="H259" s="120">
        <f t="shared" si="54"/>
        <v>0</v>
      </c>
      <c r="I259" s="120">
        <f t="shared" si="55"/>
        <v>0</v>
      </c>
      <c r="J259" s="31"/>
      <c r="K259" s="31"/>
      <c r="L259" s="31"/>
      <c r="M259" s="31"/>
      <c r="N259" s="31"/>
      <c r="O259" s="31"/>
      <c r="P259" s="31"/>
      <c r="Q259" s="31"/>
      <c r="R259" s="39"/>
    </row>
    <row r="260" spans="1:18" x14ac:dyDescent="0.25">
      <c r="A260" s="38"/>
      <c r="B260" s="413"/>
      <c r="C260" s="117" t="s">
        <v>153</v>
      </c>
      <c r="D260" s="54">
        <f>IF(AND($M$240="Année 3",$M$242="Mois 5"),$M$244,0)</f>
        <v>0</v>
      </c>
      <c r="E260" s="54">
        <f t="shared" si="56"/>
        <v>0</v>
      </c>
      <c r="F260" s="120">
        <f t="shared" si="57"/>
        <v>0</v>
      </c>
      <c r="G260" s="120">
        <f t="shared" si="53"/>
        <v>0</v>
      </c>
      <c r="H260" s="120">
        <f t="shared" si="54"/>
        <v>0</v>
      </c>
      <c r="I260" s="120">
        <f t="shared" si="55"/>
        <v>0</v>
      </c>
      <c r="J260" s="31"/>
      <c r="K260" s="31"/>
      <c r="L260" s="31"/>
      <c r="M260" s="31"/>
      <c r="N260" s="31"/>
      <c r="O260" s="31"/>
      <c r="P260" s="31"/>
      <c r="Q260" s="31"/>
      <c r="R260" s="39"/>
    </row>
    <row r="261" spans="1:18" x14ac:dyDescent="0.25">
      <c r="A261" s="38"/>
      <c r="B261" s="413"/>
      <c r="C261" s="117" t="s">
        <v>154</v>
      </c>
      <c r="D261" s="54">
        <f>IF(AND($M$240="Année 3",$M$242="Mois 6"),$M$244,0)</f>
        <v>0</v>
      </c>
      <c r="E261" s="54">
        <f>IF(I260&gt;0,I260,D261)</f>
        <v>0</v>
      </c>
      <c r="F261" s="120">
        <f t="shared" si="57"/>
        <v>0</v>
      </c>
      <c r="G261" s="120">
        <f t="shared" si="53"/>
        <v>0</v>
      </c>
      <c r="H261" s="120">
        <f t="shared" si="54"/>
        <v>0</v>
      </c>
      <c r="I261" s="120">
        <f t="shared" si="55"/>
        <v>0</v>
      </c>
      <c r="J261" s="31"/>
      <c r="K261" s="31"/>
      <c r="L261" s="31"/>
      <c r="M261" s="31"/>
      <c r="N261" s="31"/>
      <c r="O261" s="31"/>
      <c r="P261" s="31"/>
      <c r="Q261" s="31"/>
      <c r="R261" s="39"/>
    </row>
    <row r="262" spans="1:18" x14ac:dyDescent="0.25">
      <c r="A262" s="38"/>
      <c r="B262" s="413"/>
      <c r="C262" s="117" t="s">
        <v>155</v>
      </c>
      <c r="D262" s="54">
        <f>IF(AND($M$240="Année 3",$M$242="Mois 7"),$M$244,0)</f>
        <v>0</v>
      </c>
      <c r="E262" s="54">
        <f t="shared" si="56"/>
        <v>0</v>
      </c>
      <c r="F262" s="120">
        <f t="shared" si="57"/>
        <v>0</v>
      </c>
      <c r="G262" s="120">
        <f t="shared" si="53"/>
        <v>0</v>
      </c>
      <c r="H262" s="120">
        <f t="shared" si="54"/>
        <v>0</v>
      </c>
      <c r="I262" s="120">
        <f t="shared" si="55"/>
        <v>0</v>
      </c>
      <c r="J262" s="31"/>
      <c r="K262" s="31"/>
      <c r="L262" s="31"/>
      <c r="M262" s="31"/>
      <c r="N262" s="31"/>
      <c r="O262" s="31"/>
      <c r="P262" s="31"/>
      <c r="Q262" s="31"/>
      <c r="R262" s="39"/>
    </row>
    <row r="263" spans="1:18" x14ac:dyDescent="0.25">
      <c r="A263" s="38"/>
      <c r="B263" s="413"/>
      <c r="C263" s="117" t="s">
        <v>156</v>
      </c>
      <c r="D263" s="54">
        <f>IF(AND($M$240="Année 3",$M$242="Mois 8"),$M$244,0)</f>
        <v>0</v>
      </c>
      <c r="E263" s="54">
        <f t="shared" si="56"/>
        <v>0</v>
      </c>
      <c r="F263" s="120">
        <f t="shared" si="57"/>
        <v>0</v>
      </c>
      <c r="G263" s="120">
        <f t="shared" si="53"/>
        <v>0</v>
      </c>
      <c r="H263" s="120">
        <f t="shared" si="54"/>
        <v>0</v>
      </c>
      <c r="I263" s="120">
        <f t="shared" si="55"/>
        <v>0</v>
      </c>
      <c r="J263" s="31"/>
      <c r="K263" s="31"/>
      <c r="L263" s="31"/>
      <c r="M263" s="31"/>
      <c r="N263" s="31"/>
      <c r="O263" s="31"/>
      <c r="P263" s="31"/>
      <c r="Q263" s="31"/>
      <c r="R263" s="39"/>
    </row>
    <row r="264" spans="1:18" x14ac:dyDescent="0.25">
      <c r="A264" s="38"/>
      <c r="B264" s="413"/>
      <c r="C264" s="117" t="s">
        <v>157</v>
      </c>
      <c r="D264" s="54">
        <f>IF(AND($M$240="Année 3",$M$242="Mois 9"),$M$244,0)</f>
        <v>0</v>
      </c>
      <c r="E264" s="54">
        <f t="shared" si="56"/>
        <v>0</v>
      </c>
      <c r="F264" s="120">
        <f t="shared" si="57"/>
        <v>0</v>
      </c>
      <c r="G264" s="120">
        <f t="shared" si="53"/>
        <v>0</v>
      </c>
      <c r="H264" s="120">
        <f t="shared" si="54"/>
        <v>0</v>
      </c>
      <c r="I264" s="120">
        <f t="shared" si="55"/>
        <v>0</v>
      </c>
      <c r="J264" s="31"/>
      <c r="K264" s="31"/>
      <c r="L264" s="31"/>
      <c r="M264" s="31"/>
      <c r="N264" s="31"/>
      <c r="O264" s="31"/>
      <c r="P264" s="31"/>
      <c r="Q264" s="31"/>
      <c r="R264" s="39"/>
    </row>
    <row r="265" spans="1:18" x14ac:dyDescent="0.25">
      <c r="A265" s="38"/>
      <c r="B265" s="413"/>
      <c r="C265" s="117" t="s">
        <v>158</v>
      </c>
      <c r="D265" s="54">
        <f>IF(AND($M$240="Année 3",$M$242="Mois 10"),$M$244,0)</f>
        <v>0</v>
      </c>
      <c r="E265" s="54">
        <f t="shared" si="56"/>
        <v>0</v>
      </c>
      <c r="F265" s="120">
        <f t="shared" si="57"/>
        <v>0</v>
      </c>
      <c r="G265" s="120">
        <f t="shared" si="53"/>
        <v>0</v>
      </c>
      <c r="H265" s="120">
        <f t="shared" si="54"/>
        <v>0</v>
      </c>
      <c r="I265" s="120">
        <f t="shared" si="55"/>
        <v>0</v>
      </c>
      <c r="J265" s="31"/>
      <c r="K265" s="31"/>
      <c r="L265" s="31"/>
      <c r="M265" s="31"/>
      <c r="N265" s="31"/>
      <c r="O265" s="31"/>
      <c r="P265" s="31"/>
      <c r="Q265" s="31"/>
      <c r="R265" s="39"/>
    </row>
    <row r="266" spans="1:18" x14ac:dyDescent="0.25">
      <c r="A266" s="38"/>
      <c r="B266" s="413"/>
      <c r="C266" s="117" t="s">
        <v>159</v>
      </c>
      <c r="D266" s="54">
        <f>IF(AND($M$240="Année 3",$M$242="Mois 11"),$M$244,0)</f>
        <v>0</v>
      </c>
      <c r="E266" s="54">
        <f t="shared" si="56"/>
        <v>0</v>
      </c>
      <c r="F266" s="120">
        <f t="shared" si="57"/>
        <v>0</v>
      </c>
      <c r="G266" s="120">
        <f t="shared" si="53"/>
        <v>0</v>
      </c>
      <c r="H266" s="120">
        <f t="shared" si="54"/>
        <v>0</v>
      </c>
      <c r="I266" s="120">
        <f t="shared" si="55"/>
        <v>0</v>
      </c>
      <c r="J266" s="31"/>
      <c r="K266" s="31"/>
      <c r="L266" s="31"/>
      <c r="M266" s="31"/>
      <c r="N266" s="31"/>
      <c r="O266" s="31"/>
      <c r="P266" s="31"/>
      <c r="Q266" s="31"/>
      <c r="R266" s="39"/>
    </row>
    <row r="267" spans="1:18" x14ac:dyDescent="0.25">
      <c r="A267" s="38"/>
      <c r="B267" s="413"/>
      <c r="C267" s="117" t="s">
        <v>160</v>
      </c>
      <c r="D267" s="54">
        <f>IF(AND($M$240="Année 3",$M$242="Mois 12"),$M$244,0)</f>
        <v>0</v>
      </c>
      <c r="E267" s="54">
        <f t="shared" si="56"/>
        <v>0</v>
      </c>
      <c r="F267" s="120">
        <f t="shared" si="57"/>
        <v>0</v>
      </c>
      <c r="G267" s="120">
        <f t="shared" si="53"/>
        <v>0</v>
      </c>
      <c r="H267" s="120">
        <f t="shared" si="54"/>
        <v>0</v>
      </c>
      <c r="I267" s="120">
        <f t="shared" si="55"/>
        <v>0</v>
      </c>
      <c r="J267" s="31"/>
      <c r="K267" s="31"/>
      <c r="L267" s="31"/>
      <c r="M267" s="31"/>
      <c r="N267" s="31"/>
      <c r="O267" s="31"/>
      <c r="P267" s="31"/>
      <c r="Q267" s="31"/>
      <c r="R267" s="39"/>
    </row>
    <row r="268" spans="1:18" x14ac:dyDescent="0.25">
      <c r="A268" s="38"/>
      <c r="B268" s="29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9"/>
    </row>
    <row r="269" spans="1:18" ht="21" customHeight="1" x14ac:dyDescent="0.25">
      <c r="A269" s="38"/>
      <c r="B269" s="29"/>
      <c r="C269" s="411" t="s">
        <v>265</v>
      </c>
      <c r="D269" s="408" t="s">
        <v>262</v>
      </c>
      <c r="E269" s="408"/>
      <c r="F269" s="408"/>
      <c r="G269" s="408"/>
      <c r="H269" s="408"/>
      <c r="I269" s="408"/>
      <c r="J269" s="31"/>
      <c r="K269" s="31"/>
      <c r="L269" s="31"/>
      <c r="M269" s="31"/>
      <c r="N269" s="31"/>
      <c r="O269" s="31"/>
      <c r="P269" s="31"/>
      <c r="Q269" s="31"/>
      <c r="R269" s="39"/>
    </row>
    <row r="270" spans="1:18" ht="48" customHeight="1" x14ac:dyDescent="0.25">
      <c r="A270" s="38"/>
      <c r="B270" s="29"/>
      <c r="C270" s="412"/>
      <c r="D270" s="145" t="s">
        <v>110</v>
      </c>
      <c r="E270" s="146" t="s">
        <v>269</v>
      </c>
      <c r="F270" s="145" t="s">
        <v>266</v>
      </c>
      <c r="G270" s="145" t="s">
        <v>267</v>
      </c>
      <c r="H270" s="145" t="s">
        <v>268</v>
      </c>
      <c r="I270" s="146" t="s">
        <v>270</v>
      </c>
      <c r="J270" s="31"/>
      <c r="K270" s="31"/>
      <c r="L270" s="31"/>
      <c r="M270" s="31"/>
      <c r="N270" s="31"/>
      <c r="O270" s="31"/>
      <c r="P270" s="31"/>
      <c r="Q270" s="31"/>
      <c r="R270" s="39"/>
    </row>
    <row r="271" spans="1:18" x14ac:dyDescent="0.25">
      <c r="A271" s="38"/>
      <c r="B271" s="413" t="s">
        <v>146</v>
      </c>
      <c r="C271" s="117" t="s">
        <v>149</v>
      </c>
      <c r="D271" s="54">
        <f>IF(AND($M$279="Année 1",$M$281="Mois 1"),$M$283,0)</f>
        <v>0</v>
      </c>
      <c r="E271" s="54">
        <f>D271</f>
        <v>0</v>
      </c>
      <c r="F271" s="120">
        <f>IF(E271&gt;$M$277,$M$277,E271+G271)</f>
        <v>0</v>
      </c>
      <c r="G271" s="120">
        <f>E271*$M$273</f>
        <v>0</v>
      </c>
      <c r="H271" s="120">
        <f>F271-G271</f>
        <v>0</v>
      </c>
      <c r="I271" s="120">
        <f>E271-H271</f>
        <v>0</v>
      </c>
      <c r="J271" s="31"/>
      <c r="K271" s="31" t="s">
        <v>272</v>
      </c>
      <c r="L271" s="31"/>
      <c r="M271" s="119">
        <f>Financements!F43</f>
        <v>0</v>
      </c>
      <c r="N271" s="31"/>
      <c r="O271" s="31"/>
      <c r="P271" s="31"/>
      <c r="Q271" s="31"/>
      <c r="R271" s="39"/>
    </row>
    <row r="272" spans="1:18" x14ac:dyDescent="0.25">
      <c r="A272" s="38"/>
      <c r="B272" s="413"/>
      <c r="C272" s="117" t="s">
        <v>150</v>
      </c>
      <c r="D272" s="54">
        <f>IF(AND($M$279="Année 1",$M$281="Mois 2"),$M$283,0)</f>
        <v>0</v>
      </c>
      <c r="E272" s="54">
        <f>IF(I271&gt;0,I271,D272)</f>
        <v>0</v>
      </c>
      <c r="F272" s="120">
        <f t="shared" ref="F272:F306" si="58">IF(E272&gt;$M$277,$M$277,E272+G272)</f>
        <v>0</v>
      </c>
      <c r="G272" s="120">
        <f t="shared" ref="G272:G306" si="59">E272*$M$273</f>
        <v>0</v>
      </c>
      <c r="H272" s="120">
        <f t="shared" ref="H272:H306" si="60">F272-G272</f>
        <v>0</v>
      </c>
      <c r="I272" s="120">
        <f t="shared" ref="I272:I306" si="61">E272-H272</f>
        <v>0</v>
      </c>
      <c r="J272" s="31"/>
      <c r="K272" s="31"/>
      <c r="L272" s="31"/>
      <c r="M272" s="31"/>
      <c r="N272" s="31"/>
      <c r="O272" s="31"/>
      <c r="P272" s="31"/>
      <c r="Q272" s="31"/>
      <c r="R272" s="39"/>
    </row>
    <row r="273" spans="1:18" x14ac:dyDescent="0.25">
      <c r="A273" s="38"/>
      <c r="B273" s="413"/>
      <c r="C273" s="117" t="s">
        <v>151</v>
      </c>
      <c r="D273" s="54">
        <f>IF(AND($M$279="Année 1",$M$281="Mois 3"),$M$283,0)</f>
        <v>0</v>
      </c>
      <c r="E273" s="54">
        <f t="shared" ref="E273:E306" si="62">IF(I272&gt;0,I272,D273)</f>
        <v>0</v>
      </c>
      <c r="F273" s="120">
        <f t="shared" si="58"/>
        <v>0</v>
      </c>
      <c r="G273" s="120">
        <f t="shared" si="59"/>
        <v>0</v>
      </c>
      <c r="H273" s="120">
        <f t="shared" si="60"/>
        <v>0</v>
      </c>
      <c r="I273" s="120">
        <f t="shared" si="61"/>
        <v>0</v>
      </c>
      <c r="J273" s="31"/>
      <c r="K273" s="31" t="s">
        <v>273</v>
      </c>
      <c r="L273" s="31"/>
      <c r="M273" s="119">
        <f>M271/12</f>
        <v>0</v>
      </c>
      <c r="N273" s="31"/>
      <c r="O273" s="31"/>
      <c r="P273" s="31"/>
      <c r="Q273" s="31"/>
      <c r="R273" s="39"/>
    </row>
    <row r="274" spans="1:18" x14ac:dyDescent="0.25">
      <c r="A274" s="38"/>
      <c r="B274" s="413"/>
      <c r="C274" s="117" t="s">
        <v>152</v>
      </c>
      <c r="D274" s="54">
        <f>IF(AND($M$279="Année 1",$M$281="Mois 4"),$M$283,0)</f>
        <v>0</v>
      </c>
      <c r="E274" s="54">
        <f t="shared" si="62"/>
        <v>0</v>
      </c>
      <c r="F274" s="120">
        <f t="shared" si="58"/>
        <v>0</v>
      </c>
      <c r="G274" s="120">
        <f t="shared" si="59"/>
        <v>0</v>
      </c>
      <c r="H274" s="120">
        <f t="shared" si="60"/>
        <v>0</v>
      </c>
      <c r="I274" s="120">
        <f t="shared" si="61"/>
        <v>0</v>
      </c>
      <c r="J274" s="31"/>
      <c r="K274" s="31"/>
      <c r="L274" s="31"/>
      <c r="M274" s="31"/>
      <c r="N274" s="31"/>
      <c r="O274" s="31"/>
      <c r="P274" s="31"/>
      <c r="Q274" s="31"/>
      <c r="R274" s="39"/>
    </row>
    <row r="275" spans="1:18" x14ac:dyDescent="0.25">
      <c r="A275" s="38"/>
      <c r="B275" s="413"/>
      <c r="C275" s="117" t="s">
        <v>153</v>
      </c>
      <c r="D275" s="54">
        <f>IF(AND($M$279="Année 1",$M$281="Mois 5"),$M$283,0)</f>
        <v>0</v>
      </c>
      <c r="E275" s="54">
        <f t="shared" si="62"/>
        <v>0</v>
      </c>
      <c r="F275" s="120">
        <f t="shared" si="58"/>
        <v>0</v>
      </c>
      <c r="G275" s="120">
        <f t="shared" si="59"/>
        <v>0</v>
      </c>
      <c r="H275" s="120">
        <f t="shared" si="60"/>
        <v>0</v>
      </c>
      <c r="I275" s="120">
        <f t="shared" si="61"/>
        <v>0</v>
      </c>
      <c r="J275" s="31"/>
      <c r="K275" s="31" t="s">
        <v>274</v>
      </c>
      <c r="L275" s="31"/>
      <c r="M275" s="117">
        <f>Financements!G43</f>
        <v>0</v>
      </c>
      <c r="N275" s="31"/>
      <c r="O275" s="31"/>
      <c r="P275" s="31"/>
      <c r="Q275" s="31"/>
      <c r="R275" s="39"/>
    </row>
    <row r="276" spans="1:18" x14ac:dyDescent="0.25">
      <c r="A276" s="38"/>
      <c r="B276" s="413"/>
      <c r="C276" s="117" t="s">
        <v>154</v>
      </c>
      <c r="D276" s="54">
        <f>IF(AND($M$279="Année 1",$M$281="Mois 6"),$M$283,0)</f>
        <v>0</v>
      </c>
      <c r="E276" s="54">
        <f t="shared" si="62"/>
        <v>0</v>
      </c>
      <c r="F276" s="120">
        <f t="shared" si="58"/>
        <v>0</v>
      </c>
      <c r="G276" s="120">
        <f t="shared" si="59"/>
        <v>0</v>
      </c>
      <c r="H276" s="120">
        <f t="shared" si="60"/>
        <v>0</v>
      </c>
      <c r="I276" s="120">
        <f t="shared" si="61"/>
        <v>0</v>
      </c>
      <c r="J276" s="31"/>
      <c r="K276" s="31"/>
      <c r="L276" s="31"/>
      <c r="M276" s="31"/>
      <c r="N276" s="31"/>
      <c r="O276" s="31"/>
      <c r="P276" s="31"/>
      <c r="Q276" s="31"/>
      <c r="R276" s="39"/>
    </row>
    <row r="277" spans="1:18" x14ac:dyDescent="0.25">
      <c r="A277" s="38"/>
      <c r="B277" s="413"/>
      <c r="C277" s="117" t="s">
        <v>155</v>
      </c>
      <c r="D277" s="54">
        <f>IF(AND($M$279="Année 1",$M$281="Mois 7"),$M$283,0)</f>
        <v>0</v>
      </c>
      <c r="E277" s="54">
        <f t="shared" si="62"/>
        <v>0</v>
      </c>
      <c r="F277" s="120">
        <f t="shared" si="58"/>
        <v>0</v>
      </c>
      <c r="G277" s="120">
        <f t="shared" si="59"/>
        <v>0</v>
      </c>
      <c r="H277" s="120">
        <f t="shared" si="60"/>
        <v>0</v>
      </c>
      <c r="I277" s="120">
        <f t="shared" si="61"/>
        <v>0</v>
      </c>
      <c r="J277" s="31"/>
      <c r="K277" s="31" t="s">
        <v>266</v>
      </c>
      <c r="L277" s="31"/>
      <c r="M277" s="120">
        <f>IF(Financements!$C$42=0,0,(M283*(M273)*(1+M273)^M275)/(((1+M273)^M275)-1))</f>
        <v>0</v>
      </c>
      <c r="N277" s="31"/>
      <c r="O277" s="31"/>
      <c r="P277" s="31"/>
      <c r="Q277" s="31"/>
      <c r="R277" s="39"/>
    </row>
    <row r="278" spans="1:18" x14ac:dyDescent="0.25">
      <c r="A278" s="38"/>
      <c r="B278" s="413"/>
      <c r="C278" s="117" t="s">
        <v>156</v>
      </c>
      <c r="D278" s="54">
        <f>IF(AND($M$279="Année 1",$M$281="Mois 8"),$M$283,0)</f>
        <v>0</v>
      </c>
      <c r="E278" s="54">
        <f t="shared" si="62"/>
        <v>0</v>
      </c>
      <c r="F278" s="120">
        <f t="shared" si="58"/>
        <v>0</v>
      </c>
      <c r="G278" s="120">
        <f t="shared" si="59"/>
        <v>0</v>
      </c>
      <c r="H278" s="120">
        <f t="shared" si="60"/>
        <v>0</v>
      </c>
      <c r="I278" s="120">
        <f t="shared" si="61"/>
        <v>0</v>
      </c>
      <c r="J278" s="31"/>
      <c r="K278" s="31"/>
      <c r="L278" s="31"/>
      <c r="M278" s="31"/>
      <c r="N278" s="31"/>
      <c r="O278" s="31"/>
      <c r="P278" s="31"/>
      <c r="Q278" s="31"/>
      <c r="R278" s="39"/>
    </row>
    <row r="279" spans="1:18" x14ac:dyDescent="0.25">
      <c r="A279" s="38"/>
      <c r="B279" s="413"/>
      <c r="C279" s="117" t="s">
        <v>157</v>
      </c>
      <c r="D279" s="54">
        <f>IF(AND($M$279="Année 1",$M$281="Mois 9"),$M$283,0)</f>
        <v>0</v>
      </c>
      <c r="E279" s="54">
        <f t="shared" si="62"/>
        <v>0</v>
      </c>
      <c r="F279" s="120">
        <f t="shared" si="58"/>
        <v>0</v>
      </c>
      <c r="G279" s="120">
        <f t="shared" si="59"/>
        <v>0</v>
      </c>
      <c r="H279" s="120">
        <f t="shared" si="60"/>
        <v>0</v>
      </c>
      <c r="I279" s="120">
        <f t="shared" si="61"/>
        <v>0</v>
      </c>
      <c r="J279" s="31"/>
      <c r="K279" s="31" t="s">
        <v>275</v>
      </c>
      <c r="L279" s="31"/>
      <c r="M279" s="147" t="str">
        <f>Financements!D43</f>
        <v>Année 1</v>
      </c>
      <c r="N279" s="31"/>
      <c r="O279" s="31"/>
      <c r="P279" s="31"/>
      <c r="Q279" s="31"/>
      <c r="R279" s="39"/>
    </row>
    <row r="280" spans="1:18" x14ac:dyDescent="0.25">
      <c r="A280" s="38"/>
      <c r="B280" s="413"/>
      <c r="C280" s="117" t="s">
        <v>158</v>
      </c>
      <c r="D280" s="54">
        <f>IF(AND($M$279="Année 1",$M$281="Mois 10"),$M$283,0)</f>
        <v>0</v>
      </c>
      <c r="E280" s="54">
        <f t="shared" si="62"/>
        <v>0</v>
      </c>
      <c r="F280" s="120">
        <f t="shared" si="58"/>
        <v>0</v>
      </c>
      <c r="G280" s="120">
        <f t="shared" si="59"/>
        <v>0</v>
      </c>
      <c r="H280" s="120">
        <f t="shared" si="60"/>
        <v>0</v>
      </c>
      <c r="I280" s="120">
        <f t="shared" si="61"/>
        <v>0</v>
      </c>
      <c r="J280" s="31"/>
      <c r="K280" s="31"/>
      <c r="L280" s="31"/>
      <c r="M280" s="148"/>
      <c r="N280" s="31"/>
      <c r="O280" s="31"/>
      <c r="P280" s="31"/>
      <c r="Q280" s="31"/>
      <c r="R280" s="39"/>
    </row>
    <row r="281" spans="1:18" x14ac:dyDescent="0.25">
      <c r="A281" s="38"/>
      <c r="B281" s="413"/>
      <c r="C281" s="117" t="s">
        <v>159</v>
      </c>
      <c r="D281" s="54">
        <f>IF(AND($M$279="Année 1",$M$281="Mois 11"),$M$283,0)</f>
        <v>0</v>
      </c>
      <c r="E281" s="54">
        <f t="shared" si="62"/>
        <v>0</v>
      </c>
      <c r="F281" s="120">
        <f t="shared" si="58"/>
        <v>0</v>
      </c>
      <c r="G281" s="120">
        <f t="shared" si="59"/>
        <v>0</v>
      </c>
      <c r="H281" s="120">
        <f t="shared" si="60"/>
        <v>0</v>
      </c>
      <c r="I281" s="120">
        <f t="shared" si="61"/>
        <v>0</v>
      </c>
      <c r="J281" s="31"/>
      <c r="K281" s="31" t="s">
        <v>276</v>
      </c>
      <c r="L281" s="31"/>
      <c r="M281" s="149" t="str">
        <f>Financements!E43</f>
        <v>Mois 1</v>
      </c>
      <c r="N281" s="31"/>
      <c r="O281" s="31"/>
      <c r="P281" s="31"/>
      <c r="Q281" s="31"/>
      <c r="R281" s="39"/>
    </row>
    <row r="282" spans="1:18" x14ac:dyDescent="0.25">
      <c r="A282" s="38"/>
      <c r="B282" s="413"/>
      <c r="C282" s="117" t="s">
        <v>160</v>
      </c>
      <c r="D282" s="54">
        <f>IF(AND($M$279="Année 1",$M$281="Mois 12"),$M$283,0)</f>
        <v>0</v>
      </c>
      <c r="E282" s="54">
        <f t="shared" si="62"/>
        <v>0</v>
      </c>
      <c r="F282" s="120">
        <f t="shared" si="58"/>
        <v>0</v>
      </c>
      <c r="G282" s="120">
        <f t="shared" si="59"/>
        <v>0</v>
      </c>
      <c r="H282" s="120">
        <f t="shared" si="60"/>
        <v>0</v>
      </c>
      <c r="I282" s="120">
        <f t="shared" si="61"/>
        <v>0</v>
      </c>
      <c r="J282" s="31"/>
      <c r="K282" s="31"/>
      <c r="L282" s="31"/>
      <c r="M282" s="31"/>
      <c r="N282" s="31"/>
      <c r="O282" s="31"/>
      <c r="P282" s="31"/>
      <c r="Q282" s="31"/>
      <c r="R282" s="39"/>
    </row>
    <row r="283" spans="1:18" x14ac:dyDescent="0.25">
      <c r="A283" s="38"/>
      <c r="B283" s="413" t="s">
        <v>147</v>
      </c>
      <c r="C283" s="117" t="s">
        <v>149</v>
      </c>
      <c r="D283" s="54">
        <f>IF(AND($M$279="Année 2",$M$281="Mois 1"),$M$283,0)</f>
        <v>0</v>
      </c>
      <c r="E283" s="54">
        <f t="shared" si="62"/>
        <v>0</v>
      </c>
      <c r="F283" s="120">
        <f t="shared" si="58"/>
        <v>0</v>
      </c>
      <c r="G283" s="120">
        <f t="shared" si="59"/>
        <v>0</v>
      </c>
      <c r="H283" s="120">
        <f t="shared" si="60"/>
        <v>0</v>
      </c>
      <c r="I283" s="120">
        <f t="shared" si="61"/>
        <v>0</v>
      </c>
      <c r="J283" s="31"/>
      <c r="K283" s="31" t="s">
        <v>277</v>
      </c>
      <c r="L283" s="31"/>
      <c r="M283" s="120">
        <f>Financements!C43</f>
        <v>0</v>
      </c>
      <c r="N283" s="31"/>
      <c r="O283" s="31"/>
      <c r="P283" s="31"/>
      <c r="Q283" s="31"/>
      <c r="R283" s="39"/>
    </row>
    <row r="284" spans="1:18" x14ac:dyDescent="0.25">
      <c r="A284" s="38"/>
      <c r="B284" s="413"/>
      <c r="C284" s="117" t="s">
        <v>150</v>
      </c>
      <c r="D284" s="54">
        <f>IF(AND($M$279="Année 2",$M$281="Mois 2"),$M$283,0)</f>
        <v>0</v>
      </c>
      <c r="E284" s="54">
        <f t="shared" si="62"/>
        <v>0</v>
      </c>
      <c r="F284" s="120">
        <f t="shared" si="58"/>
        <v>0</v>
      </c>
      <c r="G284" s="120">
        <f t="shared" si="59"/>
        <v>0</v>
      </c>
      <c r="H284" s="120">
        <f t="shared" si="60"/>
        <v>0</v>
      </c>
      <c r="I284" s="120">
        <f t="shared" si="61"/>
        <v>0</v>
      </c>
      <c r="J284" s="31"/>
      <c r="K284" s="31"/>
      <c r="L284" s="31"/>
      <c r="M284" s="31"/>
      <c r="N284" s="31"/>
      <c r="O284" s="31"/>
      <c r="P284" s="31"/>
      <c r="Q284" s="31"/>
      <c r="R284" s="39"/>
    </row>
    <row r="285" spans="1:18" x14ac:dyDescent="0.25">
      <c r="A285" s="38"/>
      <c r="B285" s="413"/>
      <c r="C285" s="117" t="s">
        <v>151</v>
      </c>
      <c r="D285" s="54">
        <f>IF(AND($M$279="Année 2",$M$281="Mois 3"),$M$283,0)</f>
        <v>0</v>
      </c>
      <c r="E285" s="54">
        <f t="shared" si="62"/>
        <v>0</v>
      </c>
      <c r="F285" s="120">
        <f t="shared" si="58"/>
        <v>0</v>
      </c>
      <c r="G285" s="120">
        <f t="shared" si="59"/>
        <v>0</v>
      </c>
      <c r="H285" s="120">
        <f t="shared" si="60"/>
        <v>0</v>
      </c>
      <c r="I285" s="120">
        <f t="shared" si="61"/>
        <v>0</v>
      </c>
      <c r="J285" s="31"/>
      <c r="K285" s="31"/>
      <c r="L285" s="31"/>
      <c r="M285" s="31"/>
      <c r="N285" s="31"/>
      <c r="O285" s="31"/>
      <c r="P285" s="31"/>
      <c r="Q285" s="31"/>
      <c r="R285" s="39"/>
    </row>
    <row r="286" spans="1:18" x14ac:dyDescent="0.25">
      <c r="A286" s="38"/>
      <c r="B286" s="413"/>
      <c r="C286" s="117" t="s">
        <v>152</v>
      </c>
      <c r="D286" s="54">
        <f>IF(AND($M$279="Année 2",$M$281="Mois 4"),$M$283,0)</f>
        <v>0</v>
      </c>
      <c r="E286" s="54">
        <f t="shared" si="62"/>
        <v>0</v>
      </c>
      <c r="F286" s="120">
        <f t="shared" si="58"/>
        <v>0</v>
      </c>
      <c r="G286" s="120">
        <f t="shared" si="59"/>
        <v>0</v>
      </c>
      <c r="H286" s="120">
        <f t="shared" si="60"/>
        <v>0</v>
      </c>
      <c r="I286" s="120">
        <f t="shared" si="61"/>
        <v>0</v>
      </c>
      <c r="J286" s="31"/>
      <c r="K286" s="31" t="s">
        <v>278</v>
      </c>
      <c r="L286" s="31"/>
      <c r="M286" s="120">
        <f>IF(Financements!$C$43=0,0,SUM(G271:G282))</f>
        <v>0</v>
      </c>
      <c r="N286" s="31"/>
      <c r="O286" s="31"/>
      <c r="P286" s="31"/>
      <c r="Q286" s="31"/>
      <c r="R286" s="39"/>
    </row>
    <row r="287" spans="1:18" x14ac:dyDescent="0.25">
      <c r="A287" s="38"/>
      <c r="B287" s="413"/>
      <c r="C287" s="117" t="s">
        <v>153</v>
      </c>
      <c r="D287" s="54">
        <f>IF(AND($M$279="Année 2",$M$281="Mois 5"),$M$283,0)</f>
        <v>0</v>
      </c>
      <c r="E287" s="54">
        <f t="shared" si="62"/>
        <v>0</v>
      </c>
      <c r="F287" s="120">
        <f t="shared" si="58"/>
        <v>0</v>
      </c>
      <c r="G287" s="120">
        <f t="shared" si="59"/>
        <v>0</v>
      </c>
      <c r="H287" s="120">
        <f t="shared" si="60"/>
        <v>0</v>
      </c>
      <c r="I287" s="120">
        <f t="shared" si="61"/>
        <v>0</v>
      </c>
      <c r="J287" s="31"/>
      <c r="K287" s="31" t="s">
        <v>279</v>
      </c>
      <c r="L287" s="31"/>
      <c r="M287" s="120">
        <f>IF(Financements!$C$43=0,0,SUM(G283:G294))</f>
        <v>0</v>
      </c>
      <c r="N287" s="31"/>
      <c r="O287" s="31"/>
      <c r="P287" s="31"/>
      <c r="Q287" s="31"/>
      <c r="R287" s="39"/>
    </row>
    <row r="288" spans="1:18" x14ac:dyDescent="0.25">
      <c r="A288" s="38"/>
      <c r="B288" s="413"/>
      <c r="C288" s="117" t="s">
        <v>154</v>
      </c>
      <c r="D288" s="54">
        <f>IF(AND($M$279="Année 2",$M$281="Mois 6"),$M$283,0)</f>
        <v>0</v>
      </c>
      <c r="E288" s="54">
        <f t="shared" si="62"/>
        <v>0</v>
      </c>
      <c r="F288" s="120">
        <f t="shared" si="58"/>
        <v>0</v>
      </c>
      <c r="G288" s="120">
        <f t="shared" si="59"/>
        <v>0</v>
      </c>
      <c r="H288" s="120">
        <f t="shared" si="60"/>
        <v>0</v>
      </c>
      <c r="I288" s="120">
        <f t="shared" si="61"/>
        <v>0</v>
      </c>
      <c r="J288" s="31"/>
      <c r="K288" s="31" t="s">
        <v>280</v>
      </c>
      <c r="L288" s="31"/>
      <c r="M288" s="120">
        <f>IF(Financements!$C$43=0,0,SUM(G295:G306))</f>
        <v>0</v>
      </c>
      <c r="N288" s="31"/>
      <c r="O288" s="31"/>
      <c r="P288" s="31"/>
      <c r="Q288" s="31"/>
      <c r="R288" s="39"/>
    </row>
    <row r="289" spans="1:18" x14ac:dyDescent="0.25">
      <c r="A289" s="38"/>
      <c r="B289" s="413"/>
      <c r="C289" s="117" t="s">
        <v>155</v>
      </c>
      <c r="D289" s="54">
        <f>IF(AND($M$279="Année 2",$M$281="Mois 7"),$M$283,0)</f>
        <v>0</v>
      </c>
      <c r="E289" s="54">
        <f t="shared" si="62"/>
        <v>0</v>
      </c>
      <c r="F289" s="120">
        <f t="shared" si="58"/>
        <v>0</v>
      </c>
      <c r="G289" s="120">
        <f t="shared" si="59"/>
        <v>0</v>
      </c>
      <c r="H289" s="120">
        <f t="shared" si="60"/>
        <v>0</v>
      </c>
      <c r="I289" s="120">
        <f t="shared" si="61"/>
        <v>0</v>
      </c>
      <c r="J289" s="31"/>
      <c r="K289" s="31"/>
      <c r="L289" s="31"/>
      <c r="M289" s="31"/>
      <c r="N289" s="31"/>
      <c r="O289" s="31"/>
      <c r="P289" s="31"/>
      <c r="Q289" s="31"/>
      <c r="R289" s="39"/>
    </row>
    <row r="290" spans="1:18" x14ac:dyDescent="0.25">
      <c r="A290" s="38"/>
      <c r="B290" s="413"/>
      <c r="C290" s="117" t="s">
        <v>156</v>
      </c>
      <c r="D290" s="54">
        <f>IF(AND($M$279="Année 2",$M$281="Mois 8"),$M$283,0)</f>
        <v>0</v>
      </c>
      <c r="E290" s="54">
        <f t="shared" si="62"/>
        <v>0</v>
      </c>
      <c r="F290" s="120">
        <f t="shared" si="58"/>
        <v>0</v>
      </c>
      <c r="G290" s="120">
        <f t="shared" si="59"/>
        <v>0</v>
      </c>
      <c r="H290" s="120">
        <f t="shared" si="60"/>
        <v>0</v>
      </c>
      <c r="I290" s="120">
        <f t="shared" si="61"/>
        <v>0</v>
      </c>
      <c r="J290" s="31"/>
      <c r="K290" s="31" t="s">
        <v>281</v>
      </c>
      <c r="L290" s="31"/>
      <c r="M290" s="120">
        <f>I282</f>
        <v>0</v>
      </c>
      <c r="N290" s="31"/>
      <c r="O290" s="31"/>
      <c r="P290" s="31"/>
      <c r="Q290" s="31"/>
      <c r="R290" s="39"/>
    </row>
    <row r="291" spans="1:18" x14ac:dyDescent="0.25">
      <c r="A291" s="38"/>
      <c r="B291" s="413"/>
      <c r="C291" s="117" t="s">
        <v>157</v>
      </c>
      <c r="D291" s="54">
        <f>IF(AND($M$279="Année 2",$M$281="Mois 9"),$M$283,0)</f>
        <v>0</v>
      </c>
      <c r="E291" s="54">
        <f t="shared" si="62"/>
        <v>0</v>
      </c>
      <c r="F291" s="120">
        <f t="shared" si="58"/>
        <v>0</v>
      </c>
      <c r="G291" s="120">
        <f t="shared" si="59"/>
        <v>0</v>
      </c>
      <c r="H291" s="120">
        <f t="shared" si="60"/>
        <v>0</v>
      </c>
      <c r="I291" s="120">
        <f t="shared" si="61"/>
        <v>0</v>
      </c>
      <c r="J291" s="31"/>
      <c r="K291" s="31" t="s">
        <v>282</v>
      </c>
      <c r="L291" s="31"/>
      <c r="M291" s="120">
        <f>I294</f>
        <v>0</v>
      </c>
      <c r="N291" s="31"/>
      <c r="O291" s="31"/>
      <c r="P291" s="31"/>
      <c r="Q291" s="31"/>
      <c r="R291" s="39"/>
    </row>
    <row r="292" spans="1:18" x14ac:dyDescent="0.25">
      <c r="A292" s="38"/>
      <c r="B292" s="413"/>
      <c r="C292" s="117" t="s">
        <v>158</v>
      </c>
      <c r="D292" s="54">
        <f>IF(AND($M$279="Année 2",$M$281="Mois 10"),$M$283,0)</f>
        <v>0</v>
      </c>
      <c r="E292" s="54">
        <f t="shared" si="62"/>
        <v>0</v>
      </c>
      <c r="F292" s="120">
        <f t="shared" si="58"/>
        <v>0</v>
      </c>
      <c r="G292" s="120">
        <f t="shared" si="59"/>
        <v>0</v>
      </c>
      <c r="H292" s="120">
        <f t="shared" si="60"/>
        <v>0</v>
      </c>
      <c r="I292" s="120">
        <f t="shared" si="61"/>
        <v>0</v>
      </c>
      <c r="J292" s="31"/>
      <c r="K292" s="31" t="s">
        <v>283</v>
      </c>
      <c r="L292" s="31"/>
      <c r="M292" s="120">
        <f>I306</f>
        <v>0</v>
      </c>
      <c r="N292" s="31"/>
      <c r="O292" s="31"/>
      <c r="P292" s="31"/>
      <c r="Q292" s="31"/>
      <c r="R292" s="39"/>
    </row>
    <row r="293" spans="1:18" x14ac:dyDescent="0.25">
      <c r="A293" s="38"/>
      <c r="B293" s="413"/>
      <c r="C293" s="117" t="s">
        <v>159</v>
      </c>
      <c r="D293" s="54">
        <f>IF(AND($M$279="Année 2",$M$281="Mois 11"),$M$283,0)</f>
        <v>0</v>
      </c>
      <c r="E293" s="54">
        <f>IF(I292&gt;0,I292,D293)</f>
        <v>0</v>
      </c>
      <c r="F293" s="120">
        <f t="shared" si="58"/>
        <v>0</v>
      </c>
      <c r="G293" s="120">
        <f t="shared" si="59"/>
        <v>0</v>
      </c>
      <c r="H293" s="120">
        <f t="shared" si="60"/>
        <v>0</v>
      </c>
      <c r="I293" s="120">
        <f t="shared" si="61"/>
        <v>0</v>
      </c>
      <c r="J293" s="31"/>
      <c r="K293" s="31"/>
      <c r="L293" s="31"/>
      <c r="M293" s="31"/>
      <c r="N293" s="31"/>
      <c r="O293" s="31"/>
      <c r="P293" s="31"/>
      <c r="Q293" s="31"/>
      <c r="R293" s="39"/>
    </row>
    <row r="294" spans="1:18" x14ac:dyDescent="0.25">
      <c r="A294" s="38"/>
      <c r="B294" s="413"/>
      <c r="C294" s="117" t="s">
        <v>160</v>
      </c>
      <c r="D294" s="54">
        <f>IF(AND($M$279="Année 2",$M$281="Mois 12"),$M$283,0)</f>
        <v>0</v>
      </c>
      <c r="E294" s="54">
        <f t="shared" si="62"/>
        <v>0</v>
      </c>
      <c r="F294" s="120">
        <f t="shared" si="58"/>
        <v>0</v>
      </c>
      <c r="G294" s="120">
        <f t="shared" si="59"/>
        <v>0</v>
      </c>
      <c r="H294" s="120">
        <f t="shared" si="60"/>
        <v>0</v>
      </c>
      <c r="I294" s="120">
        <f t="shared" si="61"/>
        <v>0</v>
      </c>
      <c r="J294" s="31"/>
      <c r="K294" s="31"/>
      <c r="L294" s="31"/>
      <c r="M294" s="31"/>
      <c r="N294" s="31"/>
      <c r="O294" s="31"/>
      <c r="P294" s="31"/>
      <c r="Q294" s="31"/>
      <c r="R294" s="39"/>
    </row>
    <row r="295" spans="1:18" x14ac:dyDescent="0.25">
      <c r="A295" s="38"/>
      <c r="B295" s="413" t="s">
        <v>148</v>
      </c>
      <c r="C295" s="117" t="s">
        <v>149</v>
      </c>
      <c r="D295" s="54">
        <f>IF(AND($M$279="Année 3",$M$281="Mois 1"),$M$283,0)</f>
        <v>0</v>
      </c>
      <c r="E295" s="54">
        <f t="shared" si="62"/>
        <v>0</v>
      </c>
      <c r="F295" s="120">
        <f t="shared" si="58"/>
        <v>0</v>
      </c>
      <c r="G295" s="120">
        <f t="shared" si="59"/>
        <v>0</v>
      </c>
      <c r="H295" s="120">
        <f t="shared" si="60"/>
        <v>0</v>
      </c>
      <c r="I295" s="120">
        <f t="shared" si="61"/>
        <v>0</v>
      </c>
      <c r="J295" s="31"/>
      <c r="K295" s="31"/>
      <c r="L295" s="31"/>
      <c r="M295" s="31"/>
      <c r="N295" s="31"/>
      <c r="O295" s="31"/>
      <c r="P295" s="31"/>
      <c r="Q295" s="31"/>
      <c r="R295" s="39"/>
    </row>
    <row r="296" spans="1:18" x14ac:dyDescent="0.25">
      <c r="A296" s="38"/>
      <c r="B296" s="413"/>
      <c r="C296" s="117" t="s">
        <v>150</v>
      </c>
      <c r="D296" s="54">
        <f>IF(AND($M$279="Année 3",$M$281="Mois 2"),$M$283,0)</f>
        <v>0</v>
      </c>
      <c r="E296" s="54">
        <f t="shared" si="62"/>
        <v>0</v>
      </c>
      <c r="F296" s="120">
        <f t="shared" si="58"/>
        <v>0</v>
      </c>
      <c r="G296" s="120">
        <f t="shared" si="59"/>
        <v>0</v>
      </c>
      <c r="H296" s="120">
        <f t="shared" si="60"/>
        <v>0</v>
      </c>
      <c r="I296" s="120">
        <f t="shared" si="61"/>
        <v>0</v>
      </c>
      <c r="J296" s="31"/>
      <c r="K296" s="31"/>
      <c r="L296" s="31"/>
      <c r="M296" s="31"/>
      <c r="N296" s="31"/>
      <c r="O296" s="31"/>
      <c r="P296" s="31"/>
      <c r="Q296" s="31"/>
      <c r="R296" s="39"/>
    </row>
    <row r="297" spans="1:18" x14ac:dyDescent="0.25">
      <c r="A297" s="38"/>
      <c r="B297" s="413"/>
      <c r="C297" s="117" t="s">
        <v>151</v>
      </c>
      <c r="D297" s="54">
        <f>IF(AND($M$279="Année 3",$M$281="Mois 3"),$M$283,0)</f>
        <v>0</v>
      </c>
      <c r="E297" s="54">
        <f t="shared" si="62"/>
        <v>0</v>
      </c>
      <c r="F297" s="120">
        <f>IF(E297&gt;$M$277,$M$277,E297+G297)</f>
        <v>0</v>
      </c>
      <c r="G297" s="120">
        <f t="shared" si="59"/>
        <v>0</v>
      </c>
      <c r="H297" s="120">
        <f t="shared" si="60"/>
        <v>0</v>
      </c>
      <c r="I297" s="120">
        <f t="shared" si="61"/>
        <v>0</v>
      </c>
      <c r="J297" s="31"/>
      <c r="K297" s="31"/>
      <c r="L297" s="31"/>
      <c r="M297" s="31"/>
      <c r="N297" s="31"/>
      <c r="O297" s="31"/>
      <c r="P297" s="31"/>
      <c r="Q297" s="31"/>
      <c r="R297" s="39"/>
    </row>
    <row r="298" spans="1:18" x14ac:dyDescent="0.25">
      <c r="A298" s="38"/>
      <c r="B298" s="413"/>
      <c r="C298" s="117" t="s">
        <v>152</v>
      </c>
      <c r="D298" s="54">
        <f>IF(AND($M$279="Année 3",$M$281="Mois 4"),$M$283,0)</f>
        <v>0</v>
      </c>
      <c r="E298" s="54">
        <f t="shared" si="62"/>
        <v>0</v>
      </c>
      <c r="F298" s="120">
        <f t="shared" si="58"/>
        <v>0</v>
      </c>
      <c r="G298" s="120">
        <f t="shared" si="59"/>
        <v>0</v>
      </c>
      <c r="H298" s="120">
        <f t="shared" si="60"/>
        <v>0</v>
      </c>
      <c r="I298" s="120">
        <f t="shared" si="61"/>
        <v>0</v>
      </c>
      <c r="J298" s="31"/>
      <c r="K298" s="31"/>
      <c r="L298" s="31"/>
      <c r="M298" s="31"/>
      <c r="N298" s="31"/>
      <c r="O298" s="31"/>
      <c r="P298" s="31"/>
      <c r="Q298" s="31"/>
      <c r="R298" s="39"/>
    </row>
    <row r="299" spans="1:18" x14ac:dyDescent="0.25">
      <c r="A299" s="38"/>
      <c r="B299" s="413"/>
      <c r="C299" s="117" t="s">
        <v>153</v>
      </c>
      <c r="D299" s="54">
        <f>IF(AND($M$279="Année 3",$M$281="Mois 5"),$M$283,0)</f>
        <v>0</v>
      </c>
      <c r="E299" s="54">
        <f t="shared" si="62"/>
        <v>0</v>
      </c>
      <c r="F299" s="120">
        <f t="shared" si="58"/>
        <v>0</v>
      </c>
      <c r="G299" s="120">
        <f t="shared" si="59"/>
        <v>0</v>
      </c>
      <c r="H299" s="120">
        <f t="shared" si="60"/>
        <v>0</v>
      </c>
      <c r="I299" s="120">
        <f t="shared" si="61"/>
        <v>0</v>
      </c>
      <c r="J299" s="31"/>
      <c r="K299" s="31"/>
      <c r="L299" s="31"/>
      <c r="M299" s="31"/>
      <c r="N299" s="31"/>
      <c r="O299" s="31"/>
      <c r="P299" s="31"/>
      <c r="Q299" s="31"/>
      <c r="R299" s="39"/>
    </row>
    <row r="300" spans="1:18" x14ac:dyDescent="0.25">
      <c r="A300" s="38"/>
      <c r="B300" s="413"/>
      <c r="C300" s="117" t="s">
        <v>154</v>
      </c>
      <c r="D300" s="54">
        <f>IF(AND($M$279="Année 3",$M$281="Mois 6"),$M$283,0)</f>
        <v>0</v>
      </c>
      <c r="E300" s="54">
        <f t="shared" si="62"/>
        <v>0</v>
      </c>
      <c r="F300" s="120">
        <f t="shared" si="58"/>
        <v>0</v>
      </c>
      <c r="G300" s="120">
        <f t="shared" si="59"/>
        <v>0</v>
      </c>
      <c r="H300" s="120">
        <f t="shared" si="60"/>
        <v>0</v>
      </c>
      <c r="I300" s="120">
        <f t="shared" si="61"/>
        <v>0</v>
      </c>
      <c r="J300" s="31"/>
      <c r="K300" s="31"/>
      <c r="L300" s="31"/>
      <c r="M300" s="31"/>
      <c r="N300" s="31"/>
      <c r="O300" s="31"/>
      <c r="P300" s="31"/>
      <c r="Q300" s="31"/>
      <c r="R300" s="39"/>
    </row>
    <row r="301" spans="1:18" x14ac:dyDescent="0.25">
      <c r="A301" s="38"/>
      <c r="B301" s="413"/>
      <c r="C301" s="117" t="s">
        <v>155</v>
      </c>
      <c r="D301" s="54">
        <f>IF(AND($M$279="Année 3",$M$281="Mois 7"),$M$283,0)</f>
        <v>0</v>
      </c>
      <c r="E301" s="54">
        <f t="shared" si="62"/>
        <v>0</v>
      </c>
      <c r="F301" s="120">
        <f t="shared" si="58"/>
        <v>0</v>
      </c>
      <c r="G301" s="120">
        <f t="shared" si="59"/>
        <v>0</v>
      </c>
      <c r="H301" s="120">
        <f t="shared" si="60"/>
        <v>0</v>
      </c>
      <c r="I301" s="120">
        <f t="shared" si="61"/>
        <v>0</v>
      </c>
      <c r="J301" s="31"/>
      <c r="K301" s="31"/>
      <c r="L301" s="31"/>
      <c r="M301" s="31"/>
      <c r="N301" s="31"/>
      <c r="O301" s="31"/>
      <c r="P301" s="31"/>
      <c r="Q301" s="31"/>
      <c r="R301" s="39"/>
    </row>
    <row r="302" spans="1:18" x14ac:dyDescent="0.25">
      <c r="A302" s="38"/>
      <c r="B302" s="413"/>
      <c r="C302" s="117" t="s">
        <v>156</v>
      </c>
      <c r="D302" s="54">
        <f>IF(AND($M$279="Année 3",$M$281="Mois 8"),$M$283,0)</f>
        <v>0</v>
      </c>
      <c r="E302" s="54">
        <f t="shared" si="62"/>
        <v>0</v>
      </c>
      <c r="F302" s="120">
        <f t="shared" si="58"/>
        <v>0</v>
      </c>
      <c r="G302" s="120">
        <f t="shared" si="59"/>
        <v>0</v>
      </c>
      <c r="H302" s="120">
        <f t="shared" si="60"/>
        <v>0</v>
      </c>
      <c r="I302" s="120">
        <f t="shared" si="61"/>
        <v>0</v>
      </c>
      <c r="J302" s="31"/>
      <c r="K302" s="31"/>
      <c r="L302" s="31"/>
      <c r="M302" s="31"/>
      <c r="N302" s="31"/>
      <c r="O302" s="31"/>
      <c r="P302" s="31"/>
      <c r="Q302" s="31"/>
      <c r="R302" s="39"/>
    </row>
    <row r="303" spans="1:18" x14ac:dyDescent="0.25">
      <c r="A303" s="38"/>
      <c r="B303" s="413"/>
      <c r="C303" s="117" t="s">
        <v>157</v>
      </c>
      <c r="D303" s="54">
        <f>IF(AND($M$279="Année 3",$M$281="Mois 9"),$M$283,0)</f>
        <v>0</v>
      </c>
      <c r="E303" s="54">
        <f t="shared" si="62"/>
        <v>0</v>
      </c>
      <c r="F303" s="120">
        <f t="shared" si="58"/>
        <v>0</v>
      </c>
      <c r="G303" s="120">
        <f t="shared" si="59"/>
        <v>0</v>
      </c>
      <c r="H303" s="120">
        <f t="shared" si="60"/>
        <v>0</v>
      </c>
      <c r="I303" s="120">
        <f t="shared" si="61"/>
        <v>0</v>
      </c>
      <c r="J303" s="31"/>
      <c r="K303" s="31"/>
      <c r="L303" s="31"/>
      <c r="M303" s="31"/>
      <c r="N303" s="31"/>
      <c r="O303" s="31"/>
      <c r="P303" s="31"/>
      <c r="Q303" s="31"/>
      <c r="R303" s="39"/>
    </row>
    <row r="304" spans="1:18" x14ac:dyDescent="0.25">
      <c r="A304" s="38"/>
      <c r="B304" s="413"/>
      <c r="C304" s="117" t="s">
        <v>158</v>
      </c>
      <c r="D304" s="54">
        <f>IF(AND($M$279="Année 3",$M$281="Mois 10"),$M$283,0)</f>
        <v>0</v>
      </c>
      <c r="E304" s="54">
        <f t="shared" si="62"/>
        <v>0</v>
      </c>
      <c r="F304" s="120">
        <f t="shared" si="58"/>
        <v>0</v>
      </c>
      <c r="G304" s="120">
        <f t="shared" si="59"/>
        <v>0</v>
      </c>
      <c r="H304" s="120">
        <f t="shared" si="60"/>
        <v>0</v>
      </c>
      <c r="I304" s="120">
        <f t="shared" si="61"/>
        <v>0</v>
      </c>
      <c r="J304" s="31"/>
      <c r="K304" s="31"/>
      <c r="L304" s="31"/>
      <c r="M304" s="31"/>
      <c r="N304" s="31"/>
      <c r="O304" s="31"/>
      <c r="P304" s="31"/>
      <c r="Q304" s="31"/>
      <c r="R304" s="39"/>
    </row>
    <row r="305" spans="1:18" x14ac:dyDescent="0.25">
      <c r="A305" s="38"/>
      <c r="B305" s="413"/>
      <c r="C305" s="117" t="s">
        <v>159</v>
      </c>
      <c r="D305" s="54">
        <f>IF(AND($M$279="Année 3",$M$281="Mois 11"),$M$283,0)</f>
        <v>0</v>
      </c>
      <c r="E305" s="54">
        <f t="shared" si="62"/>
        <v>0</v>
      </c>
      <c r="F305" s="120">
        <f t="shared" si="58"/>
        <v>0</v>
      </c>
      <c r="G305" s="120">
        <f t="shared" si="59"/>
        <v>0</v>
      </c>
      <c r="H305" s="120">
        <f t="shared" si="60"/>
        <v>0</v>
      </c>
      <c r="I305" s="120">
        <f t="shared" si="61"/>
        <v>0</v>
      </c>
      <c r="J305" s="31"/>
      <c r="K305" s="31"/>
      <c r="L305" s="31"/>
      <c r="M305" s="31"/>
      <c r="N305" s="31"/>
      <c r="O305" s="31"/>
      <c r="P305" s="31"/>
      <c r="Q305" s="31"/>
      <c r="R305" s="39"/>
    </row>
    <row r="306" spans="1:18" x14ac:dyDescent="0.25">
      <c r="A306" s="38"/>
      <c r="B306" s="413"/>
      <c r="C306" s="117" t="s">
        <v>160</v>
      </c>
      <c r="D306" s="54">
        <f>IF(AND($M$279="Année 3",$M$281="Mois 12"),$M$283,0)</f>
        <v>0</v>
      </c>
      <c r="E306" s="54">
        <f t="shared" si="62"/>
        <v>0</v>
      </c>
      <c r="F306" s="120">
        <f t="shared" si="58"/>
        <v>0</v>
      </c>
      <c r="G306" s="120">
        <f t="shared" si="59"/>
        <v>0</v>
      </c>
      <c r="H306" s="120">
        <f t="shared" si="60"/>
        <v>0</v>
      </c>
      <c r="I306" s="120">
        <f t="shared" si="61"/>
        <v>0</v>
      </c>
      <c r="J306" s="31"/>
      <c r="K306" s="31"/>
      <c r="L306" s="31"/>
      <c r="M306" s="31"/>
      <c r="N306" s="31"/>
      <c r="O306" s="31"/>
      <c r="P306" s="31"/>
      <c r="Q306" s="31"/>
      <c r="R306" s="39"/>
    </row>
    <row r="307" spans="1:18" x14ac:dyDescent="0.25">
      <c r="A307" s="38"/>
      <c r="B307" s="29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9"/>
    </row>
    <row r="308" spans="1:18" ht="21" customHeight="1" x14ac:dyDescent="0.25">
      <c r="A308" s="38"/>
      <c r="B308" s="29"/>
      <c r="C308" s="411" t="s">
        <v>265</v>
      </c>
      <c r="D308" s="408" t="s">
        <v>263</v>
      </c>
      <c r="E308" s="408"/>
      <c r="F308" s="408"/>
      <c r="G308" s="408"/>
      <c r="H308" s="408"/>
      <c r="I308" s="408"/>
      <c r="J308" s="31"/>
      <c r="K308" s="31"/>
      <c r="L308" s="31"/>
      <c r="M308" s="31"/>
      <c r="N308" s="31"/>
      <c r="O308" s="31"/>
      <c r="P308" s="31"/>
      <c r="Q308" s="31"/>
      <c r="R308" s="39"/>
    </row>
    <row r="309" spans="1:18" ht="48" customHeight="1" x14ac:dyDescent="0.25">
      <c r="A309" s="38"/>
      <c r="B309" s="29"/>
      <c r="C309" s="412"/>
      <c r="D309" s="145" t="s">
        <v>110</v>
      </c>
      <c r="E309" s="146" t="s">
        <v>269</v>
      </c>
      <c r="F309" s="145" t="s">
        <v>266</v>
      </c>
      <c r="G309" s="145" t="s">
        <v>267</v>
      </c>
      <c r="H309" s="145" t="s">
        <v>268</v>
      </c>
      <c r="I309" s="146" t="s">
        <v>270</v>
      </c>
      <c r="J309" s="31"/>
      <c r="K309" s="31"/>
      <c r="L309" s="31"/>
      <c r="M309" s="31"/>
      <c r="N309" s="31"/>
      <c r="O309" s="31"/>
      <c r="P309" s="31"/>
      <c r="Q309" s="31"/>
      <c r="R309" s="39"/>
    </row>
    <row r="310" spans="1:18" x14ac:dyDescent="0.25">
      <c r="A310" s="38"/>
      <c r="B310" s="413" t="s">
        <v>146</v>
      </c>
      <c r="C310" s="117" t="s">
        <v>149</v>
      </c>
      <c r="D310" s="54">
        <f>IF(AND($M$318="Année 1",$M$320="Mois 1"),$M$322,0)</f>
        <v>0</v>
      </c>
      <c r="E310" s="54">
        <f>D310</f>
        <v>0</v>
      </c>
      <c r="F310" s="120">
        <f>IF(E310&gt;$M$316,$M$316,E310+G310)</f>
        <v>0</v>
      </c>
      <c r="G310" s="120">
        <f>E310*$M$312</f>
        <v>0</v>
      </c>
      <c r="H310" s="120">
        <f>F310-G310</f>
        <v>0</v>
      </c>
      <c r="I310" s="120">
        <f>E310-H310</f>
        <v>0</v>
      </c>
      <c r="J310" s="31"/>
      <c r="K310" s="31" t="s">
        <v>272</v>
      </c>
      <c r="L310" s="31"/>
      <c r="M310" s="119">
        <f>Financements!F44</f>
        <v>0</v>
      </c>
      <c r="N310" s="31"/>
      <c r="O310" s="31"/>
      <c r="P310" s="31"/>
      <c r="Q310" s="31"/>
      <c r="R310" s="39"/>
    </row>
    <row r="311" spans="1:18" x14ac:dyDescent="0.25">
      <c r="A311" s="38"/>
      <c r="B311" s="413"/>
      <c r="C311" s="117" t="s">
        <v>150</v>
      </c>
      <c r="D311" s="54">
        <f>IF(AND($M$318="Année 1",$M$320="Mois 2"),$M$322,0)</f>
        <v>0</v>
      </c>
      <c r="E311" s="54">
        <f>IF(I310&gt;0,I310,D311)</f>
        <v>0</v>
      </c>
      <c r="F311" s="120">
        <f t="shared" ref="F311:F345" si="63">IF(E311&gt;$M$316,$M$316,E311+G311)</f>
        <v>0</v>
      </c>
      <c r="G311" s="120">
        <f t="shared" ref="G311:G345" si="64">E311*$M$312</f>
        <v>0</v>
      </c>
      <c r="H311" s="120">
        <f t="shared" ref="H311:H345" si="65">F311-G311</f>
        <v>0</v>
      </c>
      <c r="I311" s="120">
        <f t="shared" ref="I311:I345" si="66">E311-H311</f>
        <v>0</v>
      </c>
      <c r="J311" s="31"/>
      <c r="K311" s="31"/>
      <c r="L311" s="31"/>
      <c r="M311" s="31"/>
      <c r="N311" s="31"/>
      <c r="O311" s="31"/>
      <c r="P311" s="31"/>
      <c r="Q311" s="31"/>
      <c r="R311" s="39"/>
    </row>
    <row r="312" spans="1:18" x14ac:dyDescent="0.25">
      <c r="A312" s="38"/>
      <c r="B312" s="413"/>
      <c r="C312" s="117" t="s">
        <v>151</v>
      </c>
      <c r="D312" s="54">
        <f>IF(AND($M$318="Année 1",$M$320="Mois 3"),$M$322,0)</f>
        <v>0</v>
      </c>
      <c r="E312" s="54">
        <f t="shared" ref="E312:E345" si="67">IF(I311&gt;0,I311,D312)</f>
        <v>0</v>
      </c>
      <c r="F312" s="120">
        <f t="shared" si="63"/>
        <v>0</v>
      </c>
      <c r="G312" s="120">
        <f t="shared" si="64"/>
        <v>0</v>
      </c>
      <c r="H312" s="120">
        <f t="shared" si="65"/>
        <v>0</v>
      </c>
      <c r="I312" s="120">
        <f t="shared" si="66"/>
        <v>0</v>
      </c>
      <c r="J312" s="31"/>
      <c r="K312" s="31" t="s">
        <v>273</v>
      </c>
      <c r="L312" s="31"/>
      <c r="M312" s="119">
        <f>M310/12</f>
        <v>0</v>
      </c>
      <c r="N312" s="31"/>
      <c r="O312" s="31"/>
      <c r="P312" s="31"/>
      <c r="Q312" s="31"/>
      <c r="R312" s="39"/>
    </row>
    <row r="313" spans="1:18" x14ac:dyDescent="0.25">
      <c r="A313" s="38"/>
      <c r="B313" s="413"/>
      <c r="C313" s="117" t="s">
        <v>152</v>
      </c>
      <c r="D313" s="54">
        <f>IF(AND($M$318="Année 1",$M$320="Mois 4"),$M$322,0)</f>
        <v>0</v>
      </c>
      <c r="E313" s="54">
        <f t="shared" si="67"/>
        <v>0</v>
      </c>
      <c r="F313" s="120">
        <f t="shared" si="63"/>
        <v>0</v>
      </c>
      <c r="G313" s="120">
        <f t="shared" si="64"/>
        <v>0</v>
      </c>
      <c r="H313" s="120">
        <f t="shared" si="65"/>
        <v>0</v>
      </c>
      <c r="I313" s="120">
        <f t="shared" si="66"/>
        <v>0</v>
      </c>
      <c r="J313" s="31"/>
      <c r="K313" s="31"/>
      <c r="L313" s="31"/>
      <c r="M313" s="31"/>
      <c r="N313" s="31"/>
      <c r="O313" s="31"/>
      <c r="P313" s="31"/>
      <c r="Q313" s="31"/>
      <c r="R313" s="39"/>
    </row>
    <row r="314" spans="1:18" x14ac:dyDescent="0.25">
      <c r="A314" s="38"/>
      <c r="B314" s="413"/>
      <c r="C314" s="117" t="s">
        <v>153</v>
      </c>
      <c r="D314" s="54">
        <f>IF(AND($M$318="Année 1",$M$320="Mois 5"),$M$322,0)</f>
        <v>0</v>
      </c>
      <c r="E314" s="54">
        <f t="shared" si="67"/>
        <v>0</v>
      </c>
      <c r="F314" s="120">
        <f t="shared" si="63"/>
        <v>0</v>
      </c>
      <c r="G314" s="120">
        <f t="shared" si="64"/>
        <v>0</v>
      </c>
      <c r="H314" s="120">
        <f t="shared" si="65"/>
        <v>0</v>
      </c>
      <c r="I314" s="120">
        <f t="shared" si="66"/>
        <v>0</v>
      </c>
      <c r="J314" s="31"/>
      <c r="K314" s="31" t="s">
        <v>274</v>
      </c>
      <c r="L314" s="31"/>
      <c r="M314" s="117">
        <f>Financements!G44</f>
        <v>0</v>
      </c>
      <c r="N314" s="31"/>
      <c r="O314" s="31"/>
      <c r="P314" s="31"/>
      <c r="Q314" s="31"/>
      <c r="R314" s="39"/>
    </row>
    <row r="315" spans="1:18" x14ac:dyDescent="0.25">
      <c r="A315" s="38"/>
      <c r="B315" s="413"/>
      <c r="C315" s="117" t="s">
        <v>154</v>
      </c>
      <c r="D315" s="54">
        <f>IF(AND($M$318="Année 1",$M$320="Mois 6"),$M$322,0)</f>
        <v>0</v>
      </c>
      <c r="E315" s="54">
        <f t="shared" si="67"/>
        <v>0</v>
      </c>
      <c r="F315" s="120">
        <f t="shared" si="63"/>
        <v>0</v>
      </c>
      <c r="G315" s="120">
        <f t="shared" si="64"/>
        <v>0</v>
      </c>
      <c r="H315" s="120">
        <f t="shared" si="65"/>
        <v>0</v>
      </c>
      <c r="I315" s="120">
        <f t="shared" si="66"/>
        <v>0</v>
      </c>
      <c r="J315" s="31"/>
      <c r="K315" s="31"/>
      <c r="L315" s="31"/>
      <c r="M315" s="31"/>
      <c r="N315" s="31"/>
      <c r="O315" s="31"/>
      <c r="P315" s="31"/>
      <c r="Q315" s="31"/>
      <c r="R315" s="39"/>
    </row>
    <row r="316" spans="1:18" x14ac:dyDescent="0.25">
      <c r="A316" s="38"/>
      <c r="B316" s="413"/>
      <c r="C316" s="117" t="s">
        <v>155</v>
      </c>
      <c r="D316" s="54">
        <f>IF(AND($M$318="Année 1",$M$320="Mois 7"),$M$322,0)</f>
        <v>0</v>
      </c>
      <c r="E316" s="54">
        <f t="shared" si="67"/>
        <v>0</v>
      </c>
      <c r="F316" s="120">
        <f t="shared" si="63"/>
        <v>0</v>
      </c>
      <c r="G316" s="120">
        <f t="shared" si="64"/>
        <v>0</v>
      </c>
      <c r="H316" s="120">
        <f t="shared" si="65"/>
        <v>0</v>
      </c>
      <c r="I316" s="120">
        <f t="shared" si="66"/>
        <v>0</v>
      </c>
      <c r="J316" s="31"/>
      <c r="K316" s="31" t="s">
        <v>266</v>
      </c>
      <c r="L316" s="31"/>
      <c r="M316" s="120">
        <f>IF(Financements!$C$44=0,0,(M322*(M312)*(1+M312)^M314)/(((1+M312)^M314)-1))</f>
        <v>0</v>
      </c>
      <c r="N316" s="31"/>
      <c r="O316" s="31"/>
      <c r="P316" s="31"/>
      <c r="Q316" s="31"/>
      <c r="R316" s="39"/>
    </row>
    <row r="317" spans="1:18" x14ac:dyDescent="0.25">
      <c r="A317" s="38"/>
      <c r="B317" s="413"/>
      <c r="C317" s="117" t="s">
        <v>156</v>
      </c>
      <c r="D317" s="54">
        <f>IF(AND($M$318="Année 1",$M$320="Mois 8"),$M$322,0)</f>
        <v>0</v>
      </c>
      <c r="E317" s="54">
        <f t="shared" si="67"/>
        <v>0</v>
      </c>
      <c r="F317" s="120">
        <f t="shared" si="63"/>
        <v>0</v>
      </c>
      <c r="G317" s="120">
        <f t="shared" si="64"/>
        <v>0</v>
      </c>
      <c r="H317" s="120">
        <f t="shared" si="65"/>
        <v>0</v>
      </c>
      <c r="I317" s="120">
        <f t="shared" si="66"/>
        <v>0</v>
      </c>
      <c r="J317" s="31"/>
      <c r="K317" s="31"/>
      <c r="L317" s="31"/>
      <c r="M317" s="31"/>
      <c r="N317" s="31"/>
      <c r="O317" s="31"/>
      <c r="P317" s="31"/>
      <c r="Q317" s="31"/>
      <c r="R317" s="39"/>
    </row>
    <row r="318" spans="1:18" x14ac:dyDescent="0.25">
      <c r="A318" s="38"/>
      <c r="B318" s="413"/>
      <c r="C318" s="117" t="s">
        <v>157</v>
      </c>
      <c r="D318" s="54">
        <f>IF(AND($M$318="Année 1",$M$320="Mois 9"),$M$322,0)</f>
        <v>0</v>
      </c>
      <c r="E318" s="54">
        <f t="shared" si="67"/>
        <v>0</v>
      </c>
      <c r="F318" s="120">
        <f t="shared" si="63"/>
        <v>0</v>
      </c>
      <c r="G318" s="120">
        <f t="shared" si="64"/>
        <v>0</v>
      </c>
      <c r="H318" s="120">
        <f t="shared" si="65"/>
        <v>0</v>
      </c>
      <c r="I318" s="120">
        <f t="shared" si="66"/>
        <v>0</v>
      </c>
      <c r="J318" s="31"/>
      <c r="K318" s="31" t="s">
        <v>275</v>
      </c>
      <c r="L318" s="31"/>
      <c r="M318" s="147" t="str">
        <f>Financements!D44</f>
        <v>Année 1</v>
      </c>
      <c r="N318" s="31"/>
      <c r="O318" s="31"/>
      <c r="P318" s="31"/>
      <c r="Q318" s="31"/>
      <c r="R318" s="39"/>
    </row>
    <row r="319" spans="1:18" x14ac:dyDescent="0.25">
      <c r="A319" s="38"/>
      <c r="B319" s="413"/>
      <c r="C319" s="117" t="s">
        <v>158</v>
      </c>
      <c r="D319" s="54">
        <f>IF(AND($M$318="Année 1",$M$320="Mois 10"),$M$322,0)</f>
        <v>0</v>
      </c>
      <c r="E319" s="54">
        <f t="shared" si="67"/>
        <v>0</v>
      </c>
      <c r="F319" s="120">
        <f t="shared" si="63"/>
        <v>0</v>
      </c>
      <c r="G319" s="120">
        <f t="shared" si="64"/>
        <v>0</v>
      </c>
      <c r="H319" s="120">
        <f t="shared" si="65"/>
        <v>0</v>
      </c>
      <c r="I319" s="120">
        <f t="shared" si="66"/>
        <v>0</v>
      </c>
      <c r="J319" s="31"/>
      <c r="K319" s="31"/>
      <c r="L319" s="31"/>
      <c r="M319" s="148"/>
      <c r="N319" s="31"/>
      <c r="O319" s="31"/>
      <c r="P319" s="31"/>
      <c r="Q319" s="31"/>
      <c r="R319" s="39"/>
    </row>
    <row r="320" spans="1:18" x14ac:dyDescent="0.25">
      <c r="A320" s="38"/>
      <c r="B320" s="413"/>
      <c r="C320" s="117" t="s">
        <v>159</v>
      </c>
      <c r="D320" s="54">
        <f>IF(AND($M$318="Année 1",$M$320="Mois 11"),$M$322,0)</f>
        <v>0</v>
      </c>
      <c r="E320" s="54">
        <f t="shared" si="67"/>
        <v>0</v>
      </c>
      <c r="F320" s="120">
        <f t="shared" si="63"/>
        <v>0</v>
      </c>
      <c r="G320" s="120">
        <f t="shared" si="64"/>
        <v>0</v>
      </c>
      <c r="H320" s="120">
        <f t="shared" si="65"/>
        <v>0</v>
      </c>
      <c r="I320" s="120">
        <f t="shared" si="66"/>
        <v>0</v>
      </c>
      <c r="J320" s="31"/>
      <c r="K320" s="31" t="s">
        <v>276</v>
      </c>
      <c r="L320" s="31"/>
      <c r="M320" s="149" t="str">
        <f>Financements!E44</f>
        <v>Mois 1</v>
      </c>
      <c r="N320" s="31"/>
      <c r="O320" s="31"/>
      <c r="P320" s="31"/>
      <c r="Q320" s="31"/>
      <c r="R320" s="39"/>
    </row>
    <row r="321" spans="1:18" x14ac:dyDescent="0.25">
      <c r="A321" s="38"/>
      <c r="B321" s="413"/>
      <c r="C321" s="117" t="s">
        <v>160</v>
      </c>
      <c r="D321" s="54">
        <f>IF(AND($M$318="Année 1",$M$320="Mois 12"),$M$322,0)</f>
        <v>0</v>
      </c>
      <c r="E321" s="54">
        <f t="shared" si="67"/>
        <v>0</v>
      </c>
      <c r="F321" s="120">
        <f t="shared" si="63"/>
        <v>0</v>
      </c>
      <c r="G321" s="120">
        <f t="shared" si="64"/>
        <v>0</v>
      </c>
      <c r="H321" s="120">
        <f t="shared" si="65"/>
        <v>0</v>
      </c>
      <c r="I321" s="120">
        <f t="shared" si="66"/>
        <v>0</v>
      </c>
      <c r="J321" s="31"/>
      <c r="K321" s="31"/>
      <c r="L321" s="31"/>
      <c r="M321" s="31"/>
      <c r="N321" s="31"/>
      <c r="O321" s="31"/>
      <c r="P321" s="31"/>
      <c r="Q321" s="31"/>
      <c r="R321" s="39"/>
    </row>
    <row r="322" spans="1:18" x14ac:dyDescent="0.25">
      <c r="A322" s="38"/>
      <c r="B322" s="413" t="s">
        <v>147</v>
      </c>
      <c r="C322" s="117" t="s">
        <v>149</v>
      </c>
      <c r="D322" s="54">
        <f>IF(AND($M$318="Année 2",$M$320="Mois 1"),$M$322,0)</f>
        <v>0</v>
      </c>
      <c r="E322" s="54">
        <f t="shared" si="67"/>
        <v>0</v>
      </c>
      <c r="F322" s="120">
        <f t="shared" si="63"/>
        <v>0</v>
      </c>
      <c r="G322" s="120">
        <f t="shared" si="64"/>
        <v>0</v>
      </c>
      <c r="H322" s="120">
        <f t="shared" si="65"/>
        <v>0</v>
      </c>
      <c r="I322" s="120">
        <f t="shared" si="66"/>
        <v>0</v>
      </c>
      <c r="J322" s="31"/>
      <c r="K322" s="31" t="s">
        <v>277</v>
      </c>
      <c r="L322" s="31"/>
      <c r="M322" s="120">
        <f>Financements!C44</f>
        <v>0</v>
      </c>
      <c r="N322" s="31"/>
      <c r="O322" s="31"/>
      <c r="P322" s="31"/>
      <c r="Q322" s="31"/>
      <c r="R322" s="39"/>
    </row>
    <row r="323" spans="1:18" x14ac:dyDescent="0.25">
      <c r="A323" s="38"/>
      <c r="B323" s="413"/>
      <c r="C323" s="117" t="s">
        <v>150</v>
      </c>
      <c r="D323" s="54">
        <f>IF(AND($M$318="Année 2",$M$320="Mois 2"),$M$322,0)</f>
        <v>0</v>
      </c>
      <c r="E323" s="54">
        <f t="shared" si="67"/>
        <v>0</v>
      </c>
      <c r="F323" s="120">
        <f t="shared" si="63"/>
        <v>0</v>
      </c>
      <c r="G323" s="120">
        <f t="shared" si="64"/>
        <v>0</v>
      </c>
      <c r="H323" s="120">
        <f t="shared" si="65"/>
        <v>0</v>
      </c>
      <c r="I323" s="120">
        <f t="shared" si="66"/>
        <v>0</v>
      </c>
      <c r="J323" s="31"/>
      <c r="K323" s="31"/>
      <c r="L323" s="31"/>
      <c r="M323" s="31"/>
      <c r="N323" s="31"/>
      <c r="O323" s="31"/>
      <c r="P323" s="31"/>
      <c r="Q323" s="31"/>
      <c r="R323" s="39"/>
    </row>
    <row r="324" spans="1:18" x14ac:dyDescent="0.25">
      <c r="A324" s="38"/>
      <c r="B324" s="413"/>
      <c r="C324" s="117" t="s">
        <v>151</v>
      </c>
      <c r="D324" s="54">
        <f>IF(AND($M$318="Année 2",$M$320="Mois 3"),$M$322,0)</f>
        <v>0</v>
      </c>
      <c r="E324" s="54">
        <f t="shared" si="67"/>
        <v>0</v>
      </c>
      <c r="F324" s="120">
        <f t="shared" si="63"/>
        <v>0</v>
      </c>
      <c r="G324" s="120">
        <f t="shared" si="64"/>
        <v>0</v>
      </c>
      <c r="H324" s="120">
        <f t="shared" si="65"/>
        <v>0</v>
      </c>
      <c r="I324" s="120">
        <f t="shared" si="66"/>
        <v>0</v>
      </c>
      <c r="J324" s="31"/>
      <c r="K324" s="31"/>
      <c r="L324" s="31"/>
      <c r="M324" s="31"/>
      <c r="N324" s="31"/>
      <c r="O324" s="31"/>
      <c r="P324" s="31"/>
      <c r="Q324" s="31"/>
      <c r="R324" s="39"/>
    </row>
    <row r="325" spans="1:18" x14ac:dyDescent="0.25">
      <c r="A325" s="38"/>
      <c r="B325" s="413"/>
      <c r="C325" s="117" t="s">
        <v>152</v>
      </c>
      <c r="D325" s="54">
        <f>IF(AND($M$318="Année 2",$M$320="Mois 4"),$M$322,0)</f>
        <v>0</v>
      </c>
      <c r="E325" s="54">
        <f t="shared" si="67"/>
        <v>0</v>
      </c>
      <c r="F325" s="120">
        <f t="shared" si="63"/>
        <v>0</v>
      </c>
      <c r="G325" s="120">
        <f t="shared" si="64"/>
        <v>0</v>
      </c>
      <c r="H325" s="120">
        <f t="shared" si="65"/>
        <v>0</v>
      </c>
      <c r="I325" s="120">
        <f t="shared" si="66"/>
        <v>0</v>
      </c>
      <c r="J325" s="31"/>
      <c r="K325" s="31" t="s">
        <v>278</v>
      </c>
      <c r="L325" s="31"/>
      <c r="M325" s="120">
        <f>IF(Financements!$C$44=0,0,SUM(G310:G321))</f>
        <v>0</v>
      </c>
      <c r="N325" s="31"/>
      <c r="O325" s="31"/>
      <c r="P325" s="31"/>
      <c r="Q325" s="31"/>
      <c r="R325" s="39"/>
    </row>
    <row r="326" spans="1:18" x14ac:dyDescent="0.25">
      <c r="A326" s="38"/>
      <c r="B326" s="413"/>
      <c r="C326" s="117" t="s">
        <v>153</v>
      </c>
      <c r="D326" s="54">
        <f>IF(AND($M$318="Année 2",$M$320="Mois 5"),$M$322,0)</f>
        <v>0</v>
      </c>
      <c r="E326" s="54">
        <f t="shared" si="67"/>
        <v>0</v>
      </c>
      <c r="F326" s="120">
        <f t="shared" si="63"/>
        <v>0</v>
      </c>
      <c r="G326" s="120">
        <f t="shared" si="64"/>
        <v>0</v>
      </c>
      <c r="H326" s="120">
        <f t="shared" si="65"/>
        <v>0</v>
      </c>
      <c r="I326" s="120">
        <f t="shared" si="66"/>
        <v>0</v>
      </c>
      <c r="J326" s="31"/>
      <c r="K326" s="31" t="s">
        <v>279</v>
      </c>
      <c r="L326" s="31"/>
      <c r="M326" s="120">
        <f>IF(Financements!$C$44=0,0,SUM(G322:G333))</f>
        <v>0</v>
      </c>
      <c r="N326" s="31"/>
      <c r="O326" s="31"/>
      <c r="P326" s="31"/>
      <c r="Q326" s="31"/>
      <c r="R326" s="39"/>
    </row>
    <row r="327" spans="1:18" x14ac:dyDescent="0.25">
      <c r="A327" s="38"/>
      <c r="B327" s="413"/>
      <c r="C327" s="117" t="s">
        <v>154</v>
      </c>
      <c r="D327" s="54">
        <f>IF(AND($M$318="Année 2",$M$320="Mois 6"),$M$322,0)</f>
        <v>0</v>
      </c>
      <c r="E327" s="54">
        <f t="shared" si="67"/>
        <v>0</v>
      </c>
      <c r="F327" s="120">
        <f t="shared" si="63"/>
        <v>0</v>
      </c>
      <c r="G327" s="120">
        <f t="shared" si="64"/>
        <v>0</v>
      </c>
      <c r="H327" s="120">
        <f t="shared" si="65"/>
        <v>0</v>
      </c>
      <c r="I327" s="120">
        <f t="shared" si="66"/>
        <v>0</v>
      </c>
      <c r="J327" s="31"/>
      <c r="K327" s="31" t="s">
        <v>280</v>
      </c>
      <c r="L327" s="31"/>
      <c r="M327" s="120">
        <f>IF(Financements!$C$44=0,0,SUM(G334:G345))</f>
        <v>0</v>
      </c>
      <c r="N327" s="31"/>
      <c r="O327" s="31"/>
      <c r="P327" s="31"/>
      <c r="Q327" s="31"/>
      <c r="R327" s="39"/>
    </row>
    <row r="328" spans="1:18" x14ac:dyDescent="0.25">
      <c r="A328" s="38"/>
      <c r="B328" s="413"/>
      <c r="C328" s="117" t="s">
        <v>155</v>
      </c>
      <c r="D328" s="54">
        <f>IF(AND($M$318="Année 2",$M$320="Mois 7"),$M$322,0)</f>
        <v>0</v>
      </c>
      <c r="E328" s="54">
        <f t="shared" si="67"/>
        <v>0</v>
      </c>
      <c r="F328" s="120">
        <f t="shared" si="63"/>
        <v>0</v>
      </c>
      <c r="G328" s="120">
        <f t="shared" si="64"/>
        <v>0</v>
      </c>
      <c r="H328" s="120">
        <f t="shared" si="65"/>
        <v>0</v>
      </c>
      <c r="I328" s="120">
        <f t="shared" si="66"/>
        <v>0</v>
      </c>
      <c r="J328" s="31"/>
      <c r="K328" s="31"/>
      <c r="L328" s="31"/>
      <c r="M328" s="31"/>
      <c r="N328" s="31"/>
      <c r="O328" s="31"/>
      <c r="P328" s="31"/>
      <c r="Q328" s="31"/>
      <c r="R328" s="39"/>
    </row>
    <row r="329" spans="1:18" x14ac:dyDescent="0.25">
      <c r="A329" s="38"/>
      <c r="B329" s="413"/>
      <c r="C329" s="117" t="s">
        <v>156</v>
      </c>
      <c r="D329" s="54">
        <f>IF(AND($M$318="Année 2",$M$320="Mois 8"),$M$322,0)</f>
        <v>0</v>
      </c>
      <c r="E329" s="54">
        <f t="shared" si="67"/>
        <v>0</v>
      </c>
      <c r="F329" s="120">
        <f t="shared" si="63"/>
        <v>0</v>
      </c>
      <c r="G329" s="120">
        <f t="shared" si="64"/>
        <v>0</v>
      </c>
      <c r="H329" s="120">
        <f t="shared" si="65"/>
        <v>0</v>
      </c>
      <c r="I329" s="120">
        <f t="shared" si="66"/>
        <v>0</v>
      </c>
      <c r="J329" s="31"/>
      <c r="K329" s="31" t="s">
        <v>281</v>
      </c>
      <c r="L329" s="31"/>
      <c r="M329" s="120">
        <f>I321</f>
        <v>0</v>
      </c>
      <c r="N329" s="31"/>
      <c r="O329" s="31"/>
      <c r="P329" s="31"/>
      <c r="Q329" s="31"/>
      <c r="R329" s="39"/>
    </row>
    <row r="330" spans="1:18" x14ac:dyDescent="0.25">
      <c r="A330" s="38"/>
      <c r="B330" s="413"/>
      <c r="C330" s="117" t="s">
        <v>157</v>
      </c>
      <c r="D330" s="54">
        <f>IF(AND($M$318="Année 2",$M$320="Mois 9"),$M$322,0)</f>
        <v>0</v>
      </c>
      <c r="E330" s="54">
        <f t="shared" si="67"/>
        <v>0</v>
      </c>
      <c r="F330" s="120">
        <f t="shared" si="63"/>
        <v>0</v>
      </c>
      <c r="G330" s="120">
        <f t="shared" si="64"/>
        <v>0</v>
      </c>
      <c r="H330" s="120">
        <f t="shared" si="65"/>
        <v>0</v>
      </c>
      <c r="I330" s="120">
        <f t="shared" si="66"/>
        <v>0</v>
      </c>
      <c r="J330" s="31"/>
      <c r="K330" s="31" t="s">
        <v>282</v>
      </c>
      <c r="L330" s="31"/>
      <c r="M330" s="120">
        <f>I333</f>
        <v>0</v>
      </c>
      <c r="N330" s="31"/>
      <c r="O330" s="31"/>
      <c r="P330" s="31"/>
      <c r="Q330" s="31"/>
      <c r="R330" s="39"/>
    </row>
    <row r="331" spans="1:18" x14ac:dyDescent="0.25">
      <c r="A331" s="38"/>
      <c r="B331" s="413"/>
      <c r="C331" s="117" t="s">
        <v>158</v>
      </c>
      <c r="D331" s="54">
        <f>IF(AND($M$318="Année 2",$M$320="Mois 10"),$M$322,0)</f>
        <v>0</v>
      </c>
      <c r="E331" s="54">
        <f t="shared" si="67"/>
        <v>0</v>
      </c>
      <c r="F331" s="120">
        <f t="shared" si="63"/>
        <v>0</v>
      </c>
      <c r="G331" s="120">
        <f t="shared" si="64"/>
        <v>0</v>
      </c>
      <c r="H331" s="120">
        <f t="shared" si="65"/>
        <v>0</v>
      </c>
      <c r="I331" s="120">
        <f t="shared" si="66"/>
        <v>0</v>
      </c>
      <c r="J331" s="31"/>
      <c r="K331" s="31" t="s">
        <v>283</v>
      </c>
      <c r="L331" s="31"/>
      <c r="M331" s="120">
        <f>I345</f>
        <v>0</v>
      </c>
      <c r="N331" s="31"/>
      <c r="O331" s="31"/>
      <c r="P331" s="31"/>
      <c r="Q331" s="31"/>
      <c r="R331" s="39"/>
    </row>
    <row r="332" spans="1:18" x14ac:dyDescent="0.25">
      <c r="A332" s="38"/>
      <c r="B332" s="413"/>
      <c r="C332" s="117" t="s">
        <v>159</v>
      </c>
      <c r="D332" s="54">
        <f>IF(AND($M$318="Année 2",$M$320="Mois 11"),$M$322,0)</f>
        <v>0</v>
      </c>
      <c r="E332" s="54">
        <f t="shared" si="67"/>
        <v>0</v>
      </c>
      <c r="F332" s="120">
        <f t="shared" si="63"/>
        <v>0</v>
      </c>
      <c r="G332" s="120">
        <f t="shared" si="64"/>
        <v>0</v>
      </c>
      <c r="H332" s="120">
        <f t="shared" si="65"/>
        <v>0</v>
      </c>
      <c r="I332" s="120">
        <f t="shared" si="66"/>
        <v>0</v>
      </c>
      <c r="J332" s="31"/>
      <c r="K332" s="31"/>
      <c r="L332" s="31"/>
      <c r="M332" s="31"/>
      <c r="N332" s="31"/>
      <c r="O332" s="31"/>
      <c r="P332" s="31"/>
      <c r="Q332" s="31"/>
      <c r="R332" s="39"/>
    </row>
    <row r="333" spans="1:18" x14ac:dyDescent="0.25">
      <c r="A333" s="38"/>
      <c r="B333" s="413"/>
      <c r="C333" s="117" t="s">
        <v>160</v>
      </c>
      <c r="D333" s="54">
        <f>IF(AND($M$318="Année 2",$M$320="Mois 12"),$M$322,0)</f>
        <v>0</v>
      </c>
      <c r="E333" s="54">
        <f t="shared" si="67"/>
        <v>0</v>
      </c>
      <c r="F333" s="120">
        <f t="shared" si="63"/>
        <v>0</v>
      </c>
      <c r="G333" s="120">
        <f t="shared" si="64"/>
        <v>0</v>
      </c>
      <c r="H333" s="120">
        <f t="shared" si="65"/>
        <v>0</v>
      </c>
      <c r="I333" s="120">
        <f t="shared" si="66"/>
        <v>0</v>
      </c>
      <c r="J333" s="31"/>
      <c r="K333" s="31"/>
      <c r="L333" s="31"/>
      <c r="M333" s="31"/>
      <c r="N333" s="31"/>
      <c r="O333" s="31"/>
      <c r="P333" s="31"/>
      <c r="Q333" s="31"/>
      <c r="R333" s="39"/>
    </row>
    <row r="334" spans="1:18" x14ac:dyDescent="0.25">
      <c r="A334" s="38"/>
      <c r="B334" s="413" t="s">
        <v>148</v>
      </c>
      <c r="C334" s="117" t="s">
        <v>149</v>
      </c>
      <c r="D334" s="54">
        <f>IF(AND($M$318="Année 3",$M$320="Mois 1"),$M$322,0)</f>
        <v>0</v>
      </c>
      <c r="E334" s="54">
        <f t="shared" si="67"/>
        <v>0</v>
      </c>
      <c r="F334" s="120">
        <f t="shared" si="63"/>
        <v>0</v>
      </c>
      <c r="G334" s="120">
        <f t="shared" si="64"/>
        <v>0</v>
      </c>
      <c r="H334" s="120">
        <f t="shared" si="65"/>
        <v>0</v>
      </c>
      <c r="I334" s="120">
        <f t="shared" si="66"/>
        <v>0</v>
      </c>
      <c r="J334" s="31"/>
      <c r="K334" s="31"/>
      <c r="L334" s="31"/>
      <c r="M334" s="31"/>
      <c r="N334" s="31"/>
      <c r="O334" s="31"/>
      <c r="P334" s="31"/>
      <c r="Q334" s="31"/>
      <c r="R334" s="39"/>
    </row>
    <row r="335" spans="1:18" x14ac:dyDescent="0.25">
      <c r="A335" s="38"/>
      <c r="B335" s="413"/>
      <c r="C335" s="117" t="s">
        <v>150</v>
      </c>
      <c r="D335" s="54">
        <f>IF(AND($M$318="Année 3",$M$320="Mois 2"),$M$322,0)</f>
        <v>0</v>
      </c>
      <c r="E335" s="54">
        <f t="shared" si="67"/>
        <v>0</v>
      </c>
      <c r="F335" s="120">
        <f t="shared" si="63"/>
        <v>0</v>
      </c>
      <c r="G335" s="120">
        <f t="shared" si="64"/>
        <v>0</v>
      </c>
      <c r="H335" s="120">
        <f t="shared" si="65"/>
        <v>0</v>
      </c>
      <c r="I335" s="120">
        <f t="shared" si="66"/>
        <v>0</v>
      </c>
      <c r="J335" s="31"/>
      <c r="K335" s="31"/>
      <c r="L335" s="31"/>
      <c r="M335" s="31"/>
      <c r="N335" s="31"/>
      <c r="O335" s="31"/>
      <c r="P335" s="31"/>
      <c r="Q335" s="31"/>
      <c r="R335" s="39"/>
    </row>
    <row r="336" spans="1:18" x14ac:dyDescent="0.25">
      <c r="A336" s="38"/>
      <c r="B336" s="413"/>
      <c r="C336" s="117" t="s">
        <v>151</v>
      </c>
      <c r="D336" s="54">
        <f>IF(AND($M$318="Année 3",$M$320="Mois 3"),$M$322,0)</f>
        <v>0</v>
      </c>
      <c r="E336" s="54">
        <f t="shared" si="67"/>
        <v>0</v>
      </c>
      <c r="F336" s="120">
        <f t="shared" si="63"/>
        <v>0</v>
      </c>
      <c r="G336" s="120">
        <f t="shared" si="64"/>
        <v>0</v>
      </c>
      <c r="H336" s="120">
        <f t="shared" si="65"/>
        <v>0</v>
      </c>
      <c r="I336" s="120">
        <f t="shared" si="66"/>
        <v>0</v>
      </c>
      <c r="J336" s="31"/>
      <c r="K336" s="31"/>
      <c r="L336" s="31"/>
      <c r="M336" s="31"/>
      <c r="N336" s="31"/>
      <c r="O336" s="31"/>
      <c r="P336" s="31"/>
      <c r="Q336" s="31"/>
      <c r="R336" s="39"/>
    </row>
    <row r="337" spans="1:18" x14ac:dyDescent="0.25">
      <c r="A337" s="38"/>
      <c r="B337" s="413"/>
      <c r="C337" s="117" t="s">
        <v>152</v>
      </c>
      <c r="D337" s="54">
        <f>IF(AND($M$318="Année 3",$M$320="Mois 4"),$M$322,0)</f>
        <v>0</v>
      </c>
      <c r="E337" s="54">
        <f t="shared" si="67"/>
        <v>0</v>
      </c>
      <c r="F337" s="120">
        <f t="shared" si="63"/>
        <v>0</v>
      </c>
      <c r="G337" s="120">
        <f t="shared" si="64"/>
        <v>0</v>
      </c>
      <c r="H337" s="120">
        <f t="shared" si="65"/>
        <v>0</v>
      </c>
      <c r="I337" s="120">
        <f t="shared" si="66"/>
        <v>0</v>
      </c>
      <c r="J337" s="31"/>
      <c r="K337" s="31" t="s">
        <v>284</v>
      </c>
      <c r="L337" s="31"/>
      <c r="M337" s="31"/>
      <c r="N337" s="120">
        <f>M325+M286+M247</f>
        <v>0</v>
      </c>
      <c r="O337" s="31"/>
      <c r="P337" s="31"/>
      <c r="Q337" s="31"/>
      <c r="R337" s="39"/>
    </row>
    <row r="338" spans="1:18" x14ac:dyDescent="0.25">
      <c r="A338" s="38"/>
      <c r="B338" s="413"/>
      <c r="C338" s="117" t="s">
        <v>153</v>
      </c>
      <c r="D338" s="54">
        <f>IF(AND($M$318="Année 3",$M$320="Mois 5"),$M$322,0)</f>
        <v>0</v>
      </c>
      <c r="E338" s="54">
        <f t="shared" si="67"/>
        <v>0</v>
      </c>
      <c r="F338" s="120">
        <f t="shared" si="63"/>
        <v>0</v>
      </c>
      <c r="G338" s="120">
        <f t="shared" si="64"/>
        <v>0</v>
      </c>
      <c r="H338" s="120">
        <f t="shared" si="65"/>
        <v>0</v>
      </c>
      <c r="I338" s="120">
        <f t="shared" si="66"/>
        <v>0</v>
      </c>
      <c r="J338" s="31"/>
      <c r="K338" s="31" t="s">
        <v>285</v>
      </c>
      <c r="L338" s="31"/>
      <c r="M338" s="31"/>
      <c r="N338" s="120">
        <f t="shared" ref="N338:N339" si="68">M326+M287+M248</f>
        <v>0</v>
      </c>
      <c r="O338" s="31"/>
      <c r="P338" s="31"/>
      <c r="Q338" s="31"/>
      <c r="R338" s="39"/>
    </row>
    <row r="339" spans="1:18" x14ac:dyDescent="0.25">
      <c r="A339" s="38"/>
      <c r="B339" s="413"/>
      <c r="C339" s="117" t="s">
        <v>154</v>
      </c>
      <c r="D339" s="54">
        <f>IF(AND($M$318="Année 3",$M$320="Mois 6"),$M$322,0)</f>
        <v>0</v>
      </c>
      <c r="E339" s="54">
        <f t="shared" si="67"/>
        <v>0</v>
      </c>
      <c r="F339" s="120">
        <f t="shared" si="63"/>
        <v>0</v>
      </c>
      <c r="G339" s="120">
        <f t="shared" si="64"/>
        <v>0</v>
      </c>
      <c r="H339" s="120">
        <f t="shared" si="65"/>
        <v>0</v>
      </c>
      <c r="I339" s="120">
        <f t="shared" si="66"/>
        <v>0</v>
      </c>
      <c r="J339" s="31"/>
      <c r="K339" s="31" t="s">
        <v>286</v>
      </c>
      <c r="L339" s="31"/>
      <c r="M339" s="31"/>
      <c r="N339" s="120">
        <f t="shared" si="68"/>
        <v>0</v>
      </c>
      <c r="O339" s="31"/>
      <c r="P339" s="31"/>
      <c r="Q339" s="31"/>
      <c r="R339" s="39"/>
    </row>
    <row r="340" spans="1:18" x14ac:dyDescent="0.25">
      <c r="A340" s="38"/>
      <c r="B340" s="413"/>
      <c r="C340" s="117" t="s">
        <v>155</v>
      </c>
      <c r="D340" s="54">
        <f>IF(AND($M$318="Année 3",$M$320="Mois 7"),$M$322,0)</f>
        <v>0</v>
      </c>
      <c r="E340" s="54">
        <f t="shared" si="67"/>
        <v>0</v>
      </c>
      <c r="F340" s="120">
        <f t="shared" si="63"/>
        <v>0</v>
      </c>
      <c r="G340" s="120">
        <f t="shared" si="64"/>
        <v>0</v>
      </c>
      <c r="H340" s="120">
        <f t="shared" si="65"/>
        <v>0</v>
      </c>
      <c r="I340" s="120">
        <f t="shared" si="66"/>
        <v>0</v>
      </c>
      <c r="J340" s="31"/>
      <c r="K340" s="31"/>
      <c r="L340" s="31"/>
      <c r="M340" s="31"/>
      <c r="N340" s="31"/>
      <c r="O340" s="31"/>
      <c r="P340" s="31"/>
      <c r="Q340" s="31"/>
      <c r="R340" s="39"/>
    </row>
    <row r="341" spans="1:18" x14ac:dyDescent="0.25">
      <c r="A341" s="38"/>
      <c r="B341" s="413"/>
      <c r="C341" s="117" t="s">
        <v>156</v>
      </c>
      <c r="D341" s="54">
        <f>IF(AND($M$318="Année 3",$M$320="Mois 8"),$M$322,0)</f>
        <v>0</v>
      </c>
      <c r="E341" s="54">
        <f t="shared" si="67"/>
        <v>0</v>
      </c>
      <c r="F341" s="120">
        <f t="shared" si="63"/>
        <v>0</v>
      </c>
      <c r="G341" s="120">
        <f t="shared" si="64"/>
        <v>0</v>
      </c>
      <c r="H341" s="120">
        <f t="shared" si="65"/>
        <v>0</v>
      </c>
      <c r="I341" s="120">
        <f t="shared" si="66"/>
        <v>0</v>
      </c>
      <c r="J341" s="31"/>
      <c r="K341" s="31" t="s">
        <v>287</v>
      </c>
      <c r="L341" s="31"/>
      <c r="M341" s="31"/>
      <c r="N341" s="120">
        <f>M329+M290+M251</f>
        <v>0</v>
      </c>
      <c r="O341" s="31"/>
      <c r="P341" s="31"/>
      <c r="Q341" s="31"/>
      <c r="R341" s="39"/>
    </row>
    <row r="342" spans="1:18" x14ac:dyDescent="0.25">
      <c r="A342" s="38"/>
      <c r="B342" s="413"/>
      <c r="C342" s="117" t="s">
        <v>157</v>
      </c>
      <c r="D342" s="54">
        <f>IF(AND($M$318="Année 3",$M$320="Mois 9"),$M$322,0)</f>
        <v>0</v>
      </c>
      <c r="E342" s="54">
        <f t="shared" si="67"/>
        <v>0</v>
      </c>
      <c r="F342" s="120">
        <f t="shared" si="63"/>
        <v>0</v>
      </c>
      <c r="G342" s="120">
        <f t="shared" si="64"/>
        <v>0</v>
      </c>
      <c r="H342" s="120">
        <f t="shared" si="65"/>
        <v>0</v>
      </c>
      <c r="I342" s="120">
        <f t="shared" si="66"/>
        <v>0</v>
      </c>
      <c r="J342" s="31"/>
      <c r="K342" s="31" t="s">
        <v>288</v>
      </c>
      <c r="L342" s="31"/>
      <c r="M342" s="31"/>
      <c r="N342" s="120">
        <f t="shared" ref="N342:N343" si="69">M330+M291+M252</f>
        <v>0</v>
      </c>
      <c r="O342" s="31"/>
      <c r="P342" s="31"/>
      <c r="Q342" s="31"/>
      <c r="R342" s="39"/>
    </row>
    <row r="343" spans="1:18" x14ac:dyDescent="0.25">
      <c r="A343" s="38"/>
      <c r="B343" s="413"/>
      <c r="C343" s="117" t="s">
        <v>158</v>
      </c>
      <c r="D343" s="54">
        <f>IF(AND($M$318="Année 3",$M$320="Mois 10"),$M$322,0)</f>
        <v>0</v>
      </c>
      <c r="E343" s="54">
        <f t="shared" si="67"/>
        <v>0</v>
      </c>
      <c r="F343" s="120">
        <f t="shared" si="63"/>
        <v>0</v>
      </c>
      <c r="G343" s="120">
        <f t="shared" si="64"/>
        <v>0</v>
      </c>
      <c r="H343" s="120">
        <f t="shared" si="65"/>
        <v>0</v>
      </c>
      <c r="I343" s="120">
        <f t="shared" si="66"/>
        <v>0</v>
      </c>
      <c r="J343" s="31"/>
      <c r="K343" s="31" t="s">
        <v>289</v>
      </c>
      <c r="L343" s="31"/>
      <c r="M343" s="31"/>
      <c r="N343" s="120">
        <f t="shared" si="69"/>
        <v>0</v>
      </c>
      <c r="O343" s="31"/>
      <c r="P343" s="31"/>
      <c r="Q343" s="31"/>
      <c r="R343" s="39"/>
    </row>
    <row r="344" spans="1:18" x14ac:dyDescent="0.25">
      <c r="A344" s="38"/>
      <c r="B344" s="413"/>
      <c r="C344" s="117" t="s">
        <v>159</v>
      </c>
      <c r="D344" s="54">
        <f>IF(AND($M$318="Année 3",$M$320="Mois 11"),$M$322,0)</f>
        <v>0</v>
      </c>
      <c r="E344" s="54">
        <f t="shared" si="67"/>
        <v>0</v>
      </c>
      <c r="F344" s="120">
        <f t="shared" si="63"/>
        <v>0</v>
      </c>
      <c r="G344" s="120">
        <f t="shared" si="64"/>
        <v>0</v>
      </c>
      <c r="H344" s="120">
        <f t="shared" si="65"/>
        <v>0</v>
      </c>
      <c r="I344" s="120">
        <f t="shared" si="66"/>
        <v>0</v>
      </c>
      <c r="J344" s="31"/>
      <c r="K344" s="31"/>
      <c r="L344" s="31"/>
      <c r="M344" s="31"/>
      <c r="N344" s="31"/>
      <c r="O344" s="31"/>
      <c r="P344" s="31"/>
      <c r="Q344" s="31"/>
      <c r="R344" s="39"/>
    </row>
    <row r="345" spans="1:18" x14ac:dyDescent="0.25">
      <c r="A345" s="38"/>
      <c r="B345" s="413"/>
      <c r="C345" s="117" t="s">
        <v>160</v>
      </c>
      <c r="D345" s="54">
        <f>IF(AND($M$318="Année 3",$M$320="Mois 12"),$M$322,0)</f>
        <v>0</v>
      </c>
      <c r="E345" s="54">
        <f t="shared" si="67"/>
        <v>0</v>
      </c>
      <c r="F345" s="120">
        <f t="shared" si="63"/>
        <v>0</v>
      </c>
      <c r="G345" s="120">
        <f t="shared" si="64"/>
        <v>0</v>
      </c>
      <c r="H345" s="120">
        <f t="shared" si="65"/>
        <v>0</v>
      </c>
      <c r="I345" s="120">
        <f t="shared" si="66"/>
        <v>0</v>
      </c>
      <c r="J345" s="31"/>
      <c r="K345" s="31"/>
      <c r="L345" s="31"/>
      <c r="M345" s="31"/>
      <c r="N345" s="31"/>
      <c r="O345" s="31"/>
      <c r="P345" s="31"/>
      <c r="Q345" s="31"/>
      <c r="R345" s="39"/>
    </row>
    <row r="346" spans="1:18" x14ac:dyDescent="0.25">
      <c r="A346" s="38"/>
      <c r="B346" s="29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9"/>
    </row>
    <row r="347" spans="1:18" x14ac:dyDescent="0.25">
      <c r="A347" s="38"/>
      <c r="B347" s="29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9"/>
    </row>
    <row r="348" spans="1:18" x14ac:dyDescent="0.25">
      <c r="A348" s="38"/>
      <c r="B348" s="29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9"/>
    </row>
    <row r="349" spans="1:18" ht="18.75" x14ac:dyDescent="0.3">
      <c r="A349" s="38"/>
      <c r="B349" s="81" t="s">
        <v>325</v>
      </c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9"/>
    </row>
    <row r="350" spans="1:18" x14ac:dyDescent="0.25">
      <c r="A350" s="38"/>
      <c r="B350" s="29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9"/>
    </row>
    <row r="351" spans="1:18" x14ac:dyDescent="0.25">
      <c r="A351" s="38"/>
      <c r="B351" s="29" t="s">
        <v>309</v>
      </c>
      <c r="C351" s="31"/>
      <c r="D351" s="183">
        <v>3403</v>
      </c>
      <c r="E351" s="31"/>
      <c r="F351" s="31" t="s">
        <v>340</v>
      </c>
      <c r="G351" s="29"/>
      <c r="H351" s="31"/>
      <c r="I351" s="31"/>
      <c r="J351" s="31"/>
      <c r="K351" s="120">
        <f>IF(Caractéristiques!$C$25="Sécurité sociale des indépendants (RSI)",IF(($O$357+($O$358/(1+Caractéristiques!$G$60)))*Caractéristiques!$C$26&gt;($D$353*Caractéristiques!$C$24),($O$357+($O$358/(1+Caractéristiques!$G$60)))*Caractéristiques!$C$26,Caractéristiques!$C$24*$D$353),0)</f>
        <v>0</v>
      </c>
      <c r="L351" s="31"/>
      <c r="M351" s="31"/>
      <c r="N351" s="31"/>
      <c r="O351" s="31"/>
      <c r="P351" s="31"/>
      <c r="Q351" s="31"/>
      <c r="R351" s="39"/>
    </row>
    <row r="352" spans="1:18" x14ac:dyDescent="0.25">
      <c r="A352" s="38"/>
      <c r="B352" s="29" t="s">
        <v>316</v>
      </c>
      <c r="C352" s="31"/>
      <c r="D352" s="185">
        <f>D351*Caractéristiques!C24</f>
        <v>3403</v>
      </c>
      <c r="E352" s="31"/>
      <c r="F352" s="31" t="s">
        <v>348</v>
      </c>
      <c r="G352" s="31"/>
      <c r="H352" s="31"/>
      <c r="I352" s="31"/>
      <c r="J352" s="31"/>
      <c r="K352" s="191">
        <f>IF(Caractéristiques!$C$25="Régime général de la sécurité sociale",Salaires!O22,0)</f>
        <v>0</v>
      </c>
      <c r="L352" s="31"/>
      <c r="M352" s="31"/>
      <c r="N352" s="31"/>
      <c r="O352" s="31"/>
      <c r="P352" s="31"/>
      <c r="Q352" s="31"/>
      <c r="R352" s="39"/>
    </row>
    <row r="353" spans="1:18" x14ac:dyDescent="0.25">
      <c r="A353" s="38"/>
      <c r="B353" s="29" t="s">
        <v>323</v>
      </c>
      <c r="C353" s="31"/>
      <c r="D353" s="185">
        <v>1026</v>
      </c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9"/>
    </row>
    <row r="354" spans="1:18" x14ac:dyDescent="0.25">
      <c r="A354" s="38"/>
      <c r="B354" s="29" t="s">
        <v>317</v>
      </c>
      <c r="C354" s="31"/>
      <c r="D354" s="117" t="str">
        <f>+Caractéristiques!C27</f>
        <v>Trimestriel</v>
      </c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9"/>
    </row>
    <row r="355" spans="1:18" x14ac:dyDescent="0.25">
      <c r="A355" s="38"/>
      <c r="B355" s="29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9"/>
    </row>
    <row r="356" spans="1:18" ht="18.75" x14ac:dyDescent="0.25">
      <c r="A356" s="38"/>
      <c r="B356" s="45" t="s">
        <v>146</v>
      </c>
      <c r="C356" s="46" t="s">
        <v>149</v>
      </c>
      <c r="D356" s="46" t="s">
        <v>150</v>
      </c>
      <c r="E356" s="46" t="s">
        <v>151</v>
      </c>
      <c r="F356" s="46" t="s">
        <v>152</v>
      </c>
      <c r="G356" s="46" t="s">
        <v>153</v>
      </c>
      <c r="H356" s="46" t="s">
        <v>154</v>
      </c>
      <c r="I356" s="46" t="s">
        <v>155</v>
      </c>
      <c r="J356" s="46" t="s">
        <v>156</v>
      </c>
      <c r="K356" s="46" t="s">
        <v>157</v>
      </c>
      <c r="L356" s="46" t="s">
        <v>158</v>
      </c>
      <c r="M356" s="46" t="s">
        <v>159</v>
      </c>
      <c r="N356" s="46" t="s">
        <v>160</v>
      </c>
      <c r="O356" s="50" t="s">
        <v>20</v>
      </c>
      <c r="P356" s="182"/>
      <c r="Q356" s="31"/>
      <c r="R356" s="39"/>
    </row>
    <row r="357" spans="1:18" x14ac:dyDescent="0.25">
      <c r="A357" s="38"/>
      <c r="B357" s="33" t="s">
        <v>307</v>
      </c>
      <c r="C357" s="54">
        <f>IF(Caractéristiques!$C$35="IS",Salaires!C21,0)</f>
        <v>0</v>
      </c>
      <c r="D357" s="54">
        <f>IF(Caractéristiques!$C$35="IS",Salaires!D21,0)</f>
        <v>0</v>
      </c>
      <c r="E357" s="54">
        <f>IF(Caractéristiques!$C$35="IS",Salaires!E21,0)</f>
        <v>0</v>
      </c>
      <c r="F357" s="54">
        <f>IF(Caractéristiques!$C$35="IS",Salaires!F21,0)</f>
        <v>0</v>
      </c>
      <c r="G357" s="54">
        <f>IF(Caractéristiques!$C$35="IS",Salaires!G21,0)</f>
        <v>0</v>
      </c>
      <c r="H357" s="54">
        <f>IF(Caractéristiques!$C$35="IS",Salaires!H21,0)</f>
        <v>0</v>
      </c>
      <c r="I357" s="54">
        <f>IF(Caractéristiques!$C$35="IS",Salaires!I21,0)</f>
        <v>0</v>
      </c>
      <c r="J357" s="54">
        <f>IF(Caractéristiques!$C$35="IS",Salaires!J21,0)</f>
        <v>0</v>
      </c>
      <c r="K357" s="54">
        <f>IF(Caractéristiques!$C$35="IS",Salaires!K21,0)</f>
        <v>0</v>
      </c>
      <c r="L357" s="54">
        <f>IF(Caractéristiques!$C$35="IS",Salaires!L21,0)</f>
        <v>0</v>
      </c>
      <c r="M357" s="54">
        <f>IF(Caractéristiques!$C$35="IS",Salaires!M21,0)</f>
        <v>0</v>
      </c>
      <c r="N357" s="54">
        <f>IF(Caractéristiques!$C$35="IS",Salaires!N21,0)</f>
        <v>0</v>
      </c>
      <c r="O357" s="54">
        <f>SUM(C357:N357)</f>
        <v>0</v>
      </c>
      <c r="P357" s="78"/>
      <c r="Q357" s="31"/>
      <c r="R357" s="39"/>
    </row>
    <row r="358" spans="1:18" x14ac:dyDescent="0.25">
      <c r="A358" s="38"/>
      <c r="B358" s="33" t="s">
        <v>704</v>
      </c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>
        <f>IF(AND(Caractéristiques!$C$35="IR",Caractéristiques!$C$25="Sécurité sociale des indépendants (RSI)"),'Compte de résultat'!$C$6-'Compte de résultat'!$C$7-'Compte de résultat'!$C$8-'Compte de résultat'!$C$10-'Compte de résultat'!$C$11-'Compte de résultat'!$C$14-'Compte de résultat'!$C$15-'Compte de résultat'!$C$16-'Compte de résultat'!$C$17+'Compte de résultat'!$C$20-'Compte de résultat'!$C$21,0)</f>
        <v>0</v>
      </c>
      <c r="P358" s="78"/>
      <c r="Q358" s="31"/>
      <c r="R358" s="39"/>
    </row>
    <row r="359" spans="1:18" x14ac:dyDescent="0.25">
      <c r="A359" s="38"/>
      <c r="B359" s="92" t="s">
        <v>319</v>
      </c>
      <c r="C359" s="171">
        <f>IF(Caractéristiques!$C$25="Sécurité sociale des indépendants (RSI)",$D$352/12,0)</f>
        <v>0</v>
      </c>
      <c r="D359" s="171">
        <f>IF(Caractéristiques!$C$25="Sécurité sociale des indépendants (RSI)",$D$352/12,0)</f>
        <v>0</v>
      </c>
      <c r="E359" s="171">
        <f>IF(Caractéristiques!$C$25="Sécurité sociale des indépendants (RSI)",$D$352/12,0)</f>
        <v>0</v>
      </c>
      <c r="F359" s="171">
        <f>IF(Caractéristiques!$C$25="Sécurité sociale des indépendants (RSI)",$D$352/12,0)</f>
        <v>0</v>
      </c>
      <c r="G359" s="171">
        <f>IF(Caractéristiques!$C$25="Sécurité sociale des indépendants (RSI)",$D$352/12,0)</f>
        <v>0</v>
      </c>
      <c r="H359" s="171">
        <f>IF(Caractéristiques!$C$25="Sécurité sociale des indépendants (RSI)",$D$352/12,0)</f>
        <v>0</v>
      </c>
      <c r="I359" s="171">
        <f>IF(Caractéristiques!$C$25="Sécurité sociale des indépendants (RSI)",$D$352/12,0)</f>
        <v>0</v>
      </c>
      <c r="J359" s="171">
        <f>IF(Caractéristiques!$C$25="Sécurité sociale des indépendants (RSI)",$D$352/12,0)</f>
        <v>0</v>
      </c>
      <c r="K359" s="171">
        <f>IF(Caractéristiques!$C$25="Sécurité sociale des indépendants (RSI)",$D$352/12,0)</f>
        <v>0</v>
      </c>
      <c r="L359" s="171">
        <f>IF(Caractéristiques!$C$25="Sécurité sociale des indépendants (RSI)",$D$352/12,0)</f>
        <v>0</v>
      </c>
      <c r="M359" s="171">
        <f>IF(Caractéristiques!$C$25="Sécurité sociale des indépendants (RSI)",$D$352/12,0)</f>
        <v>0</v>
      </c>
      <c r="N359" s="171">
        <f>IF(Caractéristiques!$C$25="Sécurité sociale des indépendants (RSI)",$D$352/12,0)</f>
        <v>0</v>
      </c>
      <c r="O359" s="171">
        <f>SUM(C359:N359)</f>
        <v>0</v>
      </c>
      <c r="P359" s="78"/>
      <c r="Q359" s="31"/>
      <c r="R359" s="39"/>
    </row>
    <row r="360" spans="1:18" x14ac:dyDescent="0.25">
      <c r="A360" s="38"/>
      <c r="B360" s="92" t="s">
        <v>320</v>
      </c>
      <c r="C360" s="171"/>
      <c r="D360" s="171">
        <f>IF(Caractéristiques!$C$25="Sécurité sociale des indépendants (RSI)",$D$352/4,0)</f>
        <v>0</v>
      </c>
      <c r="E360" s="171"/>
      <c r="F360" s="171"/>
      <c r="G360" s="171">
        <f>IF(Caractéristiques!$C$25="Sécurité sociale des indépendants (RSI)",$D$352/4,0)</f>
        <v>0</v>
      </c>
      <c r="H360" s="171"/>
      <c r="I360" s="171"/>
      <c r="J360" s="171">
        <f>IF(Caractéristiques!$C$25="Sécurité sociale des indépendants (RSI)",$D$352/4,0)</f>
        <v>0</v>
      </c>
      <c r="K360" s="171"/>
      <c r="L360" s="171"/>
      <c r="M360" s="171">
        <f>IF(Caractéristiques!$C$25="Sécurité sociale des indépendants (RSI)",$D$352/4,0)</f>
        <v>0</v>
      </c>
      <c r="N360" s="171"/>
      <c r="O360" s="171">
        <f>SUM(C360:N360)</f>
        <v>0</v>
      </c>
      <c r="P360" s="78"/>
      <c r="Q360" s="31"/>
      <c r="R360" s="39"/>
    </row>
    <row r="361" spans="1:18" x14ac:dyDescent="0.25">
      <c r="A361" s="38"/>
      <c r="B361" s="33" t="s">
        <v>321</v>
      </c>
      <c r="C361" s="186">
        <f>IF(Caractéristiques!$C$27="Mensuel",'Calcul prévi'!C359,IF(Caractéristiques!$C$27="Trimestriel",'Calcul prévi'!C360,0))</f>
        <v>0</v>
      </c>
      <c r="D361" s="186">
        <f>IF(Caractéristiques!$C$27="Mensuel",'Calcul prévi'!D359,IF(Caractéristiques!$C$27="Trimestriel",'Calcul prévi'!D360,0))</f>
        <v>0</v>
      </c>
      <c r="E361" s="186">
        <f>IF(Caractéristiques!$C$27="Mensuel",'Calcul prévi'!E359,IF(Caractéristiques!$C$27="Trimestriel",'Calcul prévi'!E360,0))</f>
        <v>0</v>
      </c>
      <c r="F361" s="186">
        <f>IF(Caractéristiques!$C$27="Mensuel",'Calcul prévi'!F359,IF(Caractéristiques!$C$27="Trimestriel",'Calcul prévi'!F360,0))</f>
        <v>0</v>
      </c>
      <c r="G361" s="186">
        <f>IF(Caractéristiques!$C$27="Mensuel",'Calcul prévi'!G359,IF(Caractéristiques!$C$27="Trimestriel",'Calcul prévi'!G360,0))</f>
        <v>0</v>
      </c>
      <c r="H361" s="186">
        <f>IF(Caractéristiques!$C$27="Mensuel",'Calcul prévi'!H359,IF(Caractéristiques!$C$27="Trimestriel",'Calcul prévi'!H360,0))</f>
        <v>0</v>
      </c>
      <c r="I361" s="186">
        <f>IF(Caractéristiques!$C$27="Mensuel",'Calcul prévi'!I359,IF(Caractéristiques!$C$27="Trimestriel",'Calcul prévi'!I360,0))</f>
        <v>0</v>
      </c>
      <c r="J361" s="186">
        <f>IF(Caractéristiques!$C$27="Mensuel",'Calcul prévi'!J359,IF(Caractéristiques!$C$27="Trimestriel",'Calcul prévi'!J360,0))</f>
        <v>0</v>
      </c>
      <c r="K361" s="186">
        <f>IF(Caractéristiques!$C$27="Mensuel",'Calcul prévi'!K359,IF(Caractéristiques!$C$27="Trimestriel",'Calcul prévi'!K360,0))</f>
        <v>0</v>
      </c>
      <c r="L361" s="186">
        <f>IF(Caractéristiques!$C$27="Mensuel",'Calcul prévi'!L359,IF(Caractéristiques!$C$27="Trimestriel",'Calcul prévi'!L360,0))</f>
        <v>0</v>
      </c>
      <c r="M361" s="186">
        <f>IF(Caractéristiques!$C$27="Mensuel",'Calcul prévi'!M359,IF(Caractéristiques!$C$27="Trimestriel",'Calcul prévi'!M360,0))</f>
        <v>0</v>
      </c>
      <c r="N361" s="186">
        <f>IF(Caractéristiques!$C$27="Mensuel",'Calcul prévi'!N359,IF(Caractéristiques!$C$27="Trimestriel",'Calcul prévi'!N360,0))</f>
        <v>0</v>
      </c>
      <c r="O361" s="186">
        <f>SUM(C361:N361)</f>
        <v>0</v>
      </c>
      <c r="P361" s="78"/>
      <c r="Q361" s="31"/>
      <c r="R361" s="39"/>
    </row>
    <row r="362" spans="1:18" x14ac:dyDescent="0.25">
      <c r="A362" s="38"/>
      <c r="B362" s="33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78"/>
      <c r="Q362" s="31"/>
      <c r="R362" s="39"/>
    </row>
    <row r="363" spans="1:18" x14ac:dyDescent="0.25">
      <c r="A363" s="38"/>
      <c r="B363" s="33" t="s">
        <v>322</v>
      </c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78">
        <f>IF(Caractéristiques!$C$25="Sécurité sociale des indépendants (RSI)",IF(K351&gt;O361,K351-O361,0),0)</f>
        <v>0</v>
      </c>
      <c r="Q363" s="31"/>
      <c r="R363" s="39"/>
    </row>
    <row r="364" spans="1:18" x14ac:dyDescent="0.25">
      <c r="A364" s="38"/>
      <c r="B364" s="33" t="s">
        <v>324</v>
      </c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78">
        <f>IF(Caractéristiques!$C$25="Sécurité sociale des indépendants (RSI)",IF(K351&lt;O361,O361-K351,0),0)</f>
        <v>0</v>
      </c>
      <c r="Q364" s="31"/>
      <c r="R364" s="39"/>
    </row>
    <row r="365" spans="1:18" x14ac:dyDescent="0.25">
      <c r="A365" s="38"/>
      <c r="B365" s="33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78"/>
      <c r="Q365" s="31"/>
      <c r="R365" s="39"/>
    </row>
    <row r="366" spans="1:18" x14ac:dyDescent="0.25">
      <c r="A366" s="38"/>
      <c r="B366" s="92" t="s">
        <v>326</v>
      </c>
      <c r="C366" s="171"/>
      <c r="D366" s="171">
        <f>IF(Caractéristiques!$C$25="Régime général de la sécurité sociale",C357*Caractéristiques!$C$28,0)</f>
        <v>0</v>
      </c>
      <c r="E366" s="171">
        <f>IF(Caractéristiques!$C$25="Régime général de la sécurité sociale",D357*Caractéristiques!$C$28,0)</f>
        <v>0</v>
      </c>
      <c r="F366" s="171">
        <f>IF(Caractéristiques!$C$25="Régime général de la sécurité sociale",E357*Caractéristiques!$C$28,0)</f>
        <v>0</v>
      </c>
      <c r="G366" s="171">
        <f>IF(Caractéristiques!$C$25="Régime général de la sécurité sociale",F357*Caractéristiques!$C$28,0)</f>
        <v>0</v>
      </c>
      <c r="H366" s="171">
        <f>IF(Caractéristiques!$C$25="Régime général de la sécurité sociale",G357*Caractéristiques!$C$28,0)</f>
        <v>0</v>
      </c>
      <c r="I366" s="171">
        <f>IF(Caractéristiques!$C$25="Régime général de la sécurité sociale",H357*Caractéristiques!$C$28,0)</f>
        <v>0</v>
      </c>
      <c r="J366" s="171">
        <f>IF(Caractéristiques!$C$25="Régime général de la sécurité sociale",I357*Caractéristiques!$C$28,0)</f>
        <v>0</v>
      </c>
      <c r="K366" s="171">
        <f>IF(Caractéristiques!$C$25="Régime général de la sécurité sociale",J357*Caractéristiques!$C$28,0)</f>
        <v>0</v>
      </c>
      <c r="L366" s="171">
        <f>IF(Caractéristiques!$C$25="Régime général de la sécurité sociale",K357*Caractéristiques!$C$28,0)</f>
        <v>0</v>
      </c>
      <c r="M366" s="171">
        <f>IF(Caractéristiques!$C$25="Régime général de la sécurité sociale",L357*Caractéristiques!$C$28,0)</f>
        <v>0</v>
      </c>
      <c r="N366" s="171">
        <f>IF(Caractéristiques!$C$25="Régime général de la sécurité sociale",M357*Caractéristiques!$C$28,0)</f>
        <v>0</v>
      </c>
      <c r="O366" s="171">
        <f>SUM(C366:N366)</f>
        <v>0</v>
      </c>
      <c r="P366" s="78"/>
      <c r="Q366" s="31"/>
      <c r="R366" s="39"/>
    </row>
    <row r="367" spans="1:18" x14ac:dyDescent="0.25">
      <c r="A367" s="38"/>
      <c r="B367" s="92" t="s">
        <v>327</v>
      </c>
      <c r="C367" s="171"/>
      <c r="D367" s="171"/>
      <c r="E367" s="171"/>
      <c r="F367" s="171">
        <f>IF(Caractéristiques!$C$25="Régime général de la sécurité sociale",SUM(C357:E357)*Caractéristiques!$C$28,0)</f>
        <v>0</v>
      </c>
      <c r="G367" s="171"/>
      <c r="H367" s="171"/>
      <c r="I367" s="171">
        <f>IF(Caractéristiques!$C$25="Régime général de la sécurité sociale",SUM(F357:H357)*Caractéristiques!$C$28,0)</f>
        <v>0</v>
      </c>
      <c r="J367" s="171"/>
      <c r="K367" s="171"/>
      <c r="L367" s="171">
        <f>IF(Caractéristiques!$C$25="Régime général de la sécurité sociale",SUM(I357:K357)*Caractéristiques!$C$28,0)</f>
        <v>0</v>
      </c>
      <c r="M367" s="171"/>
      <c r="N367" s="171"/>
      <c r="O367" s="171">
        <f>SUM(C367:N367)</f>
        <v>0</v>
      </c>
      <c r="P367" s="78"/>
      <c r="Q367" s="31"/>
      <c r="R367" s="39"/>
    </row>
    <row r="368" spans="1:18" x14ac:dyDescent="0.25">
      <c r="A368" s="38"/>
      <c r="B368" s="33" t="s">
        <v>328</v>
      </c>
      <c r="C368" s="186">
        <f>IF(Caractéristiques!$C$31="Mensuel",'Calcul prévi'!C366,IF(Caractéristiques!$C$31="Trimestriel",'Calcul prévi'!C367,0))</f>
        <v>0</v>
      </c>
      <c r="D368" s="186">
        <f>IF(Caractéristiques!$C$31="Mensuel",'Calcul prévi'!D366,IF(Caractéristiques!$C$31="Trimestriel",'Calcul prévi'!D367,0))</f>
        <v>0</v>
      </c>
      <c r="E368" s="186">
        <f>IF(Caractéristiques!$C$31="Mensuel",'Calcul prévi'!E366,IF(Caractéristiques!$C$31="Trimestriel",'Calcul prévi'!E367,0))</f>
        <v>0</v>
      </c>
      <c r="F368" s="186">
        <f>IF(Caractéristiques!$C$31="Mensuel",'Calcul prévi'!F366,IF(Caractéristiques!$C$31="Trimestriel",'Calcul prévi'!F367,0))</f>
        <v>0</v>
      </c>
      <c r="G368" s="186">
        <f>IF(Caractéristiques!$C$31="Mensuel",'Calcul prévi'!G366,IF(Caractéristiques!$C$31="Trimestriel",'Calcul prévi'!G367,0))</f>
        <v>0</v>
      </c>
      <c r="H368" s="186">
        <f>IF(Caractéristiques!$C$31="Mensuel",'Calcul prévi'!H366,IF(Caractéristiques!$C$31="Trimestriel",'Calcul prévi'!H367,0))</f>
        <v>0</v>
      </c>
      <c r="I368" s="186">
        <f>IF(Caractéristiques!$C$31="Mensuel",'Calcul prévi'!I366,IF(Caractéristiques!$C$31="Trimestriel",'Calcul prévi'!I367,0))</f>
        <v>0</v>
      </c>
      <c r="J368" s="186">
        <f>IF(Caractéristiques!$C$31="Mensuel",'Calcul prévi'!J366,IF(Caractéristiques!$C$31="Trimestriel",'Calcul prévi'!J367,0))</f>
        <v>0</v>
      </c>
      <c r="K368" s="186">
        <f>IF(Caractéristiques!$C$31="Mensuel",'Calcul prévi'!K366,IF(Caractéristiques!$C$31="Trimestriel",'Calcul prévi'!K367,0))</f>
        <v>0</v>
      </c>
      <c r="L368" s="186">
        <f>IF(Caractéristiques!$C$31="Mensuel",'Calcul prévi'!L366,IF(Caractéristiques!$C$31="Trimestriel",'Calcul prévi'!L367,0))</f>
        <v>0</v>
      </c>
      <c r="M368" s="186">
        <f>IF(Caractéristiques!$C$31="Mensuel",'Calcul prévi'!M366,IF(Caractéristiques!$C$31="Trimestriel",'Calcul prévi'!M367,0))</f>
        <v>0</v>
      </c>
      <c r="N368" s="186">
        <f>IF(Caractéristiques!$C$31="Mensuel",'Calcul prévi'!N366,IF(Caractéristiques!$C$31="Trimestriel",'Calcul prévi'!N367,0))</f>
        <v>0</v>
      </c>
      <c r="O368" s="186">
        <f>SUM(C368:N368)</f>
        <v>0</v>
      </c>
      <c r="P368" s="78"/>
      <c r="Q368" s="31"/>
      <c r="R368" s="39"/>
    </row>
    <row r="369" spans="1:18" x14ac:dyDescent="0.25">
      <c r="A369" s="38"/>
      <c r="B369" s="33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78"/>
      <c r="Q369" s="31"/>
      <c r="R369" s="39"/>
    </row>
    <row r="370" spans="1:18" x14ac:dyDescent="0.25">
      <c r="A370" s="38"/>
      <c r="B370" s="33" t="s">
        <v>329</v>
      </c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78">
        <f>IF(Caractéristiques!$C$25="Régime général de la sécurité sociale",IF(Caractéristiques!$C$31="Mensuel",N357*Caractéristiques!$C$28,IF(Caractéristiques!$C$31="Trimestriel",SUM(L357:N357)*Caractéristiques!$C$28,0)),0)</f>
        <v>0</v>
      </c>
      <c r="Q370" s="31"/>
      <c r="R370" s="39"/>
    </row>
    <row r="371" spans="1:18" x14ac:dyDescent="0.25">
      <c r="A371" s="38"/>
      <c r="B371" s="33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78"/>
      <c r="Q371" s="31"/>
      <c r="R371" s="39"/>
    </row>
    <row r="372" spans="1:18" x14ac:dyDescent="0.25">
      <c r="A372" s="38"/>
      <c r="B372" s="29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9"/>
    </row>
    <row r="373" spans="1:18" x14ac:dyDescent="0.25">
      <c r="A373" s="38"/>
      <c r="B373" s="31" t="s">
        <v>330</v>
      </c>
      <c r="C373" s="31"/>
      <c r="D373" s="120">
        <f>K351</f>
        <v>0</v>
      </c>
      <c r="E373" s="31"/>
      <c r="F373" s="31" t="s">
        <v>331</v>
      </c>
      <c r="G373" s="29"/>
      <c r="H373" s="31"/>
      <c r="I373" s="31"/>
      <c r="J373" s="31"/>
      <c r="K373" s="191">
        <f>IF(Caractéristiques!$C$25="Sécurité sociale des indépendants (RSI)",IF(($O$378+($O$379/(1+Caractéristiques!$G$60)))*Caractéristiques!$C$26&gt;($D$353*Caractéristiques!$C$24),($O$378+($O$379/(1+Caractéristiques!$G$60)))*Caractéristiques!$C$26,Caractéristiques!$C$24*$D$353),0)</f>
        <v>0</v>
      </c>
      <c r="L373" s="31"/>
      <c r="M373" s="31"/>
      <c r="N373" s="31"/>
      <c r="O373" s="31"/>
      <c r="P373" s="31"/>
      <c r="Q373" s="31"/>
      <c r="R373" s="39"/>
    </row>
    <row r="374" spans="1:18" x14ac:dyDescent="0.25">
      <c r="A374" s="38"/>
      <c r="B374" s="31" t="s">
        <v>333</v>
      </c>
      <c r="C374" s="31"/>
      <c r="D374" s="120">
        <f>IF(P363&gt;0,P363,IF(P364&gt;0,-P364,0))</f>
        <v>0</v>
      </c>
      <c r="E374" s="31"/>
      <c r="F374" s="31" t="s">
        <v>347</v>
      </c>
      <c r="G374" s="31"/>
      <c r="H374" s="31"/>
      <c r="I374" s="31"/>
      <c r="J374" s="31"/>
      <c r="K374" s="191">
        <f>IF(Caractéristiques!$C$25="Régime général de la sécurité sociale",Salaires!O31,0)</f>
        <v>0</v>
      </c>
      <c r="L374" s="31"/>
      <c r="M374" s="31"/>
      <c r="N374" s="31"/>
      <c r="O374" s="31"/>
      <c r="P374" s="31"/>
      <c r="Q374" s="31"/>
      <c r="R374" s="39"/>
    </row>
    <row r="375" spans="1:18" x14ac:dyDescent="0.25">
      <c r="A375" s="31"/>
      <c r="B375" s="31" t="s">
        <v>332</v>
      </c>
      <c r="C375" s="31"/>
      <c r="D375" s="120">
        <f>D373+D374</f>
        <v>0</v>
      </c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9"/>
    </row>
    <row r="376" spans="1:18" x14ac:dyDescent="0.25">
      <c r="A376" s="38"/>
      <c r="B376" s="29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9"/>
    </row>
    <row r="377" spans="1:18" ht="18.75" x14ac:dyDescent="0.25">
      <c r="A377" s="38"/>
      <c r="B377" s="45" t="s">
        <v>147</v>
      </c>
      <c r="C377" s="46" t="s">
        <v>149</v>
      </c>
      <c r="D377" s="46" t="s">
        <v>150</v>
      </c>
      <c r="E377" s="46" t="s">
        <v>151</v>
      </c>
      <c r="F377" s="46" t="s">
        <v>152</v>
      </c>
      <c r="G377" s="46" t="s">
        <v>153</v>
      </c>
      <c r="H377" s="46" t="s">
        <v>154</v>
      </c>
      <c r="I377" s="46" t="s">
        <v>155</v>
      </c>
      <c r="J377" s="46" t="s">
        <v>156</v>
      </c>
      <c r="K377" s="46" t="s">
        <v>157</v>
      </c>
      <c r="L377" s="46" t="s">
        <v>158</v>
      </c>
      <c r="M377" s="46" t="s">
        <v>159</v>
      </c>
      <c r="N377" s="46" t="s">
        <v>160</v>
      </c>
      <c r="O377" s="161" t="s">
        <v>20</v>
      </c>
      <c r="P377" s="182"/>
      <c r="Q377" s="31"/>
      <c r="R377" s="39"/>
    </row>
    <row r="378" spans="1:18" x14ac:dyDescent="0.25">
      <c r="A378" s="38"/>
      <c r="B378" s="33" t="s">
        <v>307</v>
      </c>
      <c r="C378" s="54">
        <f>IF(Caractéristiques!$C$35="IS",Salaires!C30,0)</f>
        <v>0</v>
      </c>
      <c r="D378" s="54">
        <f>IF(Caractéristiques!$C$35="IS",Salaires!D30,0)</f>
        <v>0</v>
      </c>
      <c r="E378" s="54">
        <f>IF(Caractéristiques!$C$35="IS",Salaires!E30,0)</f>
        <v>0</v>
      </c>
      <c r="F378" s="54">
        <f>IF(Caractéristiques!$C$35="IS",Salaires!F30,0)</f>
        <v>0</v>
      </c>
      <c r="G378" s="54">
        <f>IF(Caractéristiques!$C$35="IS",Salaires!G30,0)</f>
        <v>0</v>
      </c>
      <c r="H378" s="54">
        <f>IF(Caractéristiques!$C$35="IS",Salaires!H30,0)</f>
        <v>0</v>
      </c>
      <c r="I378" s="54">
        <f>IF(Caractéristiques!$C$35="IS",Salaires!I30,0)</f>
        <v>0</v>
      </c>
      <c r="J378" s="54">
        <f>IF(Caractéristiques!$C$35="IS",Salaires!J30,0)</f>
        <v>0</v>
      </c>
      <c r="K378" s="54">
        <f>IF(Caractéristiques!$C$35="IS",Salaires!K30,0)</f>
        <v>0</v>
      </c>
      <c r="L378" s="54">
        <f>IF(Caractéristiques!$C$35="IS",Salaires!L30,0)</f>
        <v>0</v>
      </c>
      <c r="M378" s="54">
        <f>IF(Caractéristiques!$C$35="IS",Salaires!M30,0)</f>
        <v>0</v>
      </c>
      <c r="N378" s="54">
        <f>IF(Caractéristiques!$C$35="IS",Salaires!N30,0)</f>
        <v>0</v>
      </c>
      <c r="O378" s="54">
        <f>SUM(C378:N378)</f>
        <v>0</v>
      </c>
      <c r="P378" s="78"/>
      <c r="Q378" s="31"/>
      <c r="R378" s="39"/>
    </row>
    <row r="379" spans="1:18" x14ac:dyDescent="0.25">
      <c r="A379" s="38"/>
      <c r="B379" s="33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>
        <f>IF(AND(Caractéristiques!$C$35="IR",Caractéristiques!$C$25="Sécurité sociale des indépendants (RSI)"),'Compte de résultat'!$D$6-'Compte de résultat'!$D$7-'Compte de résultat'!$D$8-'Compte de résultat'!$D$10-'Compte de résultat'!$D$11-'Compte de résultat'!$D$14-'Compte de résultat'!$D$15-'Compte de résultat'!$D$16-'Compte de résultat'!$D$17+'Compte de résultat'!$D$20-'Compte de résultat'!$D$21,0)</f>
        <v>0</v>
      </c>
      <c r="P379" s="78"/>
      <c r="Q379" s="31"/>
      <c r="R379" s="39"/>
    </row>
    <row r="380" spans="1:18" x14ac:dyDescent="0.25">
      <c r="A380" s="38"/>
      <c r="B380" s="92" t="s">
        <v>319</v>
      </c>
      <c r="C380" s="171">
        <f>IF(Caractéristiques!$C$25="Sécurité sociale des indépendants (RSI)",$D$375/12,0)</f>
        <v>0</v>
      </c>
      <c r="D380" s="171">
        <f>IF(Caractéristiques!$C$25="Sécurité sociale des indépendants (RSI)",$D$375/12,0)</f>
        <v>0</v>
      </c>
      <c r="E380" s="171">
        <f>IF(Caractéristiques!$C$25="Sécurité sociale des indépendants (RSI)",$D$375/12,0)</f>
        <v>0</v>
      </c>
      <c r="F380" s="171">
        <f>IF(Caractéristiques!$C$25="Sécurité sociale des indépendants (RSI)",$D$375/12,0)</f>
        <v>0</v>
      </c>
      <c r="G380" s="171">
        <f>IF(Caractéristiques!$C$25="Sécurité sociale des indépendants (RSI)",$D$375/12,0)</f>
        <v>0</v>
      </c>
      <c r="H380" s="171">
        <f>IF(Caractéristiques!$C$25="Sécurité sociale des indépendants (RSI)",$D$375/12,0)</f>
        <v>0</v>
      </c>
      <c r="I380" s="171">
        <f>IF(Caractéristiques!$C$25="Sécurité sociale des indépendants (RSI)",$D$375/12,0)</f>
        <v>0</v>
      </c>
      <c r="J380" s="171">
        <f>IF(Caractéristiques!$C$25="Sécurité sociale des indépendants (RSI)",$D$375/12,0)</f>
        <v>0</v>
      </c>
      <c r="K380" s="171">
        <f>IF(Caractéristiques!$C$25="Sécurité sociale des indépendants (RSI)",$D$375/12,0)</f>
        <v>0</v>
      </c>
      <c r="L380" s="171">
        <f>IF(Caractéristiques!$C$25="Sécurité sociale des indépendants (RSI)",$D$375/12,0)</f>
        <v>0</v>
      </c>
      <c r="M380" s="171">
        <f>IF(Caractéristiques!$C$25="Sécurité sociale des indépendants (RSI)",$D$375/12,0)</f>
        <v>0</v>
      </c>
      <c r="N380" s="171">
        <f>IF(Caractéristiques!$C$25="Sécurité sociale des indépendants (RSI)",$D$375/12,0)</f>
        <v>0</v>
      </c>
      <c r="O380" s="171">
        <f>SUM(C380:N380)</f>
        <v>0</v>
      </c>
      <c r="P380" s="78"/>
      <c r="Q380" s="31"/>
      <c r="R380" s="39"/>
    </row>
    <row r="381" spans="1:18" x14ac:dyDescent="0.25">
      <c r="A381" s="38"/>
      <c r="B381" s="92" t="s">
        <v>320</v>
      </c>
      <c r="C381" s="171"/>
      <c r="D381" s="171">
        <f>IF(Caractéristiques!$C$25="Sécurité sociale des indépendants (RSI)",$D$375/4,0)</f>
        <v>0</v>
      </c>
      <c r="E381" s="171"/>
      <c r="F381" s="171"/>
      <c r="G381" s="171">
        <f>IF(Caractéristiques!$C$25="Sécurité sociale des indépendants (RSI)",$D$375/4,0)</f>
        <v>0</v>
      </c>
      <c r="H381" s="171"/>
      <c r="I381" s="171"/>
      <c r="J381" s="171">
        <f>IF(Caractéristiques!$C$25="Sécurité sociale des indépendants (RSI)",$D$375/4,0)</f>
        <v>0</v>
      </c>
      <c r="K381" s="171"/>
      <c r="L381" s="171"/>
      <c r="M381" s="171">
        <f>IF(Caractéristiques!$C$25="Sécurité sociale des indépendants (RSI)",$D$375/4,0)</f>
        <v>0</v>
      </c>
      <c r="N381" s="171"/>
      <c r="O381" s="171">
        <f>SUM(C381:N381)</f>
        <v>0</v>
      </c>
      <c r="P381" s="78"/>
      <c r="Q381" s="31"/>
      <c r="R381" s="39"/>
    </row>
    <row r="382" spans="1:18" x14ac:dyDescent="0.25">
      <c r="A382" s="38"/>
      <c r="B382" s="33" t="s">
        <v>321</v>
      </c>
      <c r="C382" s="186">
        <f>IF((C380+C381)&gt;0,IF(Caractéristiques!$C$27="Mensuel",'Calcul prévi'!C380,IF(Caractéristiques!$C$27="Trimestriel",'Calcul prévi'!C381,0)),0)</f>
        <v>0</v>
      </c>
      <c r="D382" s="186">
        <f>IF((D380+D381)&gt;0,IF(Caractéristiques!$C$27="Mensuel",'Calcul prévi'!D380,IF(Caractéristiques!$C$27="Trimestriel",'Calcul prévi'!D381,0)),0)</f>
        <v>0</v>
      </c>
      <c r="E382" s="186">
        <f>IF((E380+E381)&gt;0,IF(Caractéristiques!$C$27="Mensuel",'Calcul prévi'!E380,IF(Caractéristiques!$C$27="Trimestriel",'Calcul prévi'!E381,0)),0)</f>
        <v>0</v>
      </c>
      <c r="F382" s="186">
        <f>IF((F380+F381)&gt;0,IF(Caractéristiques!$C$27="Mensuel",'Calcul prévi'!F380,IF(Caractéristiques!$C$27="Trimestriel",'Calcul prévi'!F381,0)),0)</f>
        <v>0</v>
      </c>
      <c r="G382" s="186">
        <f>IF((G380+G381)&gt;0,IF(Caractéristiques!$C$27="Mensuel",'Calcul prévi'!G380,IF(Caractéristiques!$C$27="Trimestriel",'Calcul prévi'!G381,0)),0)</f>
        <v>0</v>
      </c>
      <c r="H382" s="186">
        <f>IF((H380+H381)&gt;0,IF(Caractéristiques!$C$27="Mensuel",'Calcul prévi'!H380,IF(Caractéristiques!$C$27="Trimestriel",'Calcul prévi'!H381,0)),0)</f>
        <v>0</v>
      </c>
      <c r="I382" s="186">
        <f>IF((I380+I381)&gt;0,IF(Caractéristiques!$C$27="Mensuel",'Calcul prévi'!I380,IF(Caractéristiques!$C$27="Trimestriel",'Calcul prévi'!I381,0)),0)</f>
        <v>0</v>
      </c>
      <c r="J382" s="186">
        <f>IF((J380+J381)&gt;0,IF(Caractéristiques!$C$27="Mensuel",'Calcul prévi'!J380,IF(Caractéristiques!$C$27="Trimestriel",'Calcul prévi'!J381,0)),0)</f>
        <v>0</v>
      </c>
      <c r="K382" s="186">
        <f>IF((K380+K381)&gt;0,IF(Caractéristiques!$C$27="Mensuel",'Calcul prévi'!K380,IF(Caractéristiques!$C$27="Trimestriel",'Calcul prévi'!K381,0)),0)</f>
        <v>0</v>
      </c>
      <c r="L382" s="186">
        <f>IF((L380+L381)&gt;0,IF(Caractéristiques!$C$27="Mensuel",'Calcul prévi'!L380,IF(Caractéristiques!$C$27="Trimestriel",'Calcul prévi'!L381,0)),0)</f>
        <v>0</v>
      </c>
      <c r="M382" s="186">
        <f>IF((M380+M381)&gt;0,IF(Caractéristiques!$C$27="Mensuel",'Calcul prévi'!M380,IF(Caractéristiques!$C$27="Trimestriel",'Calcul prévi'!M381,0)),0)</f>
        <v>0</v>
      </c>
      <c r="N382" s="186">
        <f>IF((N380+N381)&gt;0,IF(Caractéristiques!$C$27="Mensuel",'Calcul prévi'!N380,IF(Caractéristiques!$C$27="Trimestriel",'Calcul prévi'!N381,0)),0)</f>
        <v>0</v>
      </c>
      <c r="O382" s="186">
        <f>SUM(C382:N382)</f>
        <v>0</v>
      </c>
      <c r="P382" s="78"/>
      <c r="Q382" s="31"/>
      <c r="R382" s="39"/>
    </row>
    <row r="383" spans="1:18" x14ac:dyDescent="0.25">
      <c r="A383" s="38"/>
      <c r="B383" s="33" t="s">
        <v>336</v>
      </c>
      <c r="C383" s="186">
        <f>IF((C380+C381)&lt;0,IF(Caractéristiques!$C$27="Mensuel",-'Calcul prévi'!C380,IF(Caractéristiques!$C$27="Trimestriel",-'Calcul prévi'!C381,0)),0)</f>
        <v>0</v>
      </c>
      <c r="D383" s="186">
        <f>IF((D380+D381)&lt;0,IF(Caractéristiques!$C$27="Mensuel",-'Calcul prévi'!D380,IF(Caractéristiques!$C$27="Trimestriel",-'Calcul prévi'!D381,0)),0)</f>
        <v>0</v>
      </c>
      <c r="E383" s="186">
        <f>IF((E380+E381)&lt;0,IF(Caractéristiques!$C$27="Mensuel",-'Calcul prévi'!E380,IF(Caractéristiques!$C$27="Trimestriel",-'Calcul prévi'!E381,0)),0)</f>
        <v>0</v>
      </c>
      <c r="F383" s="186">
        <f>IF((F380+F381)&lt;0,IF(Caractéristiques!$C$27="Mensuel",-'Calcul prévi'!F380,IF(Caractéristiques!$C$27="Trimestriel",-'Calcul prévi'!F381,0)),0)</f>
        <v>0</v>
      </c>
      <c r="G383" s="186">
        <f>IF((G380+G381)&lt;0,IF(Caractéristiques!$C$27="Mensuel",-'Calcul prévi'!G380,IF(Caractéristiques!$C$27="Trimestriel",-'Calcul prévi'!G381,0)),0)</f>
        <v>0</v>
      </c>
      <c r="H383" s="186">
        <f>IF((H380+H381)&lt;0,IF(Caractéristiques!$C$27="Mensuel",-'Calcul prévi'!H380,IF(Caractéristiques!$C$27="Trimestriel",-'Calcul prévi'!H381,0)),0)</f>
        <v>0</v>
      </c>
      <c r="I383" s="186">
        <f>IF((I380+I381)&lt;0,IF(Caractéristiques!$C$27="Mensuel",-'Calcul prévi'!I380,IF(Caractéristiques!$C$27="Trimestriel",-'Calcul prévi'!I381,0)),0)</f>
        <v>0</v>
      </c>
      <c r="J383" s="186">
        <f>IF((J380+J381)&lt;0,IF(Caractéristiques!$C$27="Mensuel",-'Calcul prévi'!J380,IF(Caractéristiques!$C$27="Trimestriel",-'Calcul prévi'!J381,0)),0)</f>
        <v>0</v>
      </c>
      <c r="K383" s="186">
        <f>IF((K380+K381)&lt;0,IF(Caractéristiques!$C$27="Mensuel",-'Calcul prévi'!K380,IF(Caractéristiques!$C$27="Trimestriel",-'Calcul prévi'!K381,0)),0)</f>
        <v>0</v>
      </c>
      <c r="L383" s="186">
        <f>IF((L380+L381)&lt;0,IF(Caractéristiques!$C$27="Mensuel",-'Calcul prévi'!L380,IF(Caractéristiques!$C$27="Trimestriel",-'Calcul prévi'!L381,0)),0)</f>
        <v>0</v>
      </c>
      <c r="M383" s="186">
        <f>IF((M380+M381)&lt;0,IF(Caractéristiques!$C$27="Mensuel",-'Calcul prévi'!M380,IF(Caractéristiques!$C$27="Trimestriel",-'Calcul prévi'!M381,0)),0)</f>
        <v>0</v>
      </c>
      <c r="N383" s="186">
        <f>IF((N380+N381)&lt;0,IF(Caractéristiques!$C$27="Mensuel",-'Calcul prévi'!N380,IF(Caractéristiques!$C$27="Trimestriel",-'Calcul prévi'!N381,0)),0)</f>
        <v>0</v>
      </c>
      <c r="O383" s="186">
        <f>SUM(C383:N383)</f>
        <v>0</v>
      </c>
      <c r="P383" s="78"/>
      <c r="Q383" s="31"/>
      <c r="R383" s="39"/>
    </row>
    <row r="384" spans="1:18" x14ac:dyDescent="0.25">
      <c r="A384" s="38"/>
      <c r="B384" s="33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78"/>
      <c r="Q384" s="31"/>
      <c r="R384" s="39"/>
    </row>
    <row r="385" spans="1:18" x14ac:dyDescent="0.25">
      <c r="A385" s="38"/>
      <c r="B385" s="33" t="s">
        <v>322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78">
        <f>IF(Caractéristiques!$C$25="Sécurité sociale des indépendants (RSI)",IF(K373&gt;D373,K373-D373,0),0)</f>
        <v>0</v>
      </c>
      <c r="Q385" s="31"/>
      <c r="R385" s="39"/>
    </row>
    <row r="386" spans="1:18" x14ac:dyDescent="0.25">
      <c r="A386" s="38"/>
      <c r="B386" s="33" t="s">
        <v>324</v>
      </c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78">
        <f>IF(Caractéristiques!$C$25="Sécurité sociale des indépendants (RSI)",IF(K373&lt;D373,D373-K373,0),0)</f>
        <v>0</v>
      </c>
      <c r="Q386" s="31"/>
      <c r="R386" s="39"/>
    </row>
    <row r="387" spans="1:18" x14ac:dyDescent="0.25">
      <c r="A387" s="38"/>
      <c r="B387" s="33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78"/>
      <c r="Q387" s="31"/>
      <c r="R387" s="39"/>
    </row>
    <row r="388" spans="1:18" x14ac:dyDescent="0.25">
      <c r="A388" s="38"/>
      <c r="B388" s="92" t="s">
        <v>326</v>
      </c>
      <c r="C388" s="171">
        <f>IF(Caractéristiques!$C$25="Régime général de la sécurité sociale",N357*Caractéristiques!$C$28,0)</f>
        <v>0</v>
      </c>
      <c r="D388" s="171">
        <f>IF(Caractéristiques!$C$25="Régime général de la sécurité sociale",C378*Caractéristiques!$C$28,0)</f>
        <v>0</v>
      </c>
      <c r="E388" s="171">
        <f>IF(Caractéristiques!$C$25="Régime général de la sécurité sociale",D378*Caractéristiques!$C$28,0)</f>
        <v>0</v>
      </c>
      <c r="F388" s="171">
        <f>IF(Caractéristiques!$C$25="Régime général de la sécurité sociale",E378*Caractéristiques!$C$28,0)</f>
        <v>0</v>
      </c>
      <c r="G388" s="171">
        <f>IF(Caractéristiques!$C$25="Régime général de la sécurité sociale",F378*Caractéristiques!$C$28,0)</f>
        <v>0</v>
      </c>
      <c r="H388" s="171">
        <f>IF(Caractéristiques!$C$25="Régime général de la sécurité sociale",G378*Caractéristiques!$C$28,0)</f>
        <v>0</v>
      </c>
      <c r="I388" s="171">
        <f>IF(Caractéristiques!$C$25="Régime général de la sécurité sociale",H378*Caractéristiques!$C$28,0)</f>
        <v>0</v>
      </c>
      <c r="J388" s="171">
        <f>IF(Caractéristiques!$C$25="Régime général de la sécurité sociale",I378*Caractéristiques!$C$28,0)</f>
        <v>0</v>
      </c>
      <c r="K388" s="171">
        <f>IF(Caractéristiques!$C$25="Régime général de la sécurité sociale",J378*Caractéristiques!$C$28,0)</f>
        <v>0</v>
      </c>
      <c r="L388" s="171">
        <f>IF(Caractéristiques!$C$25="Régime général de la sécurité sociale",K378*Caractéristiques!$C$28,0)</f>
        <v>0</v>
      </c>
      <c r="M388" s="171">
        <f>IF(Caractéristiques!$C$25="Régime général de la sécurité sociale",L378*Caractéristiques!$C$28,0)</f>
        <v>0</v>
      </c>
      <c r="N388" s="171">
        <f>IF(Caractéristiques!$C$25="Régime général de la sécurité sociale",M378*Caractéristiques!$C$28,0)</f>
        <v>0</v>
      </c>
      <c r="O388" s="171">
        <f>SUM(C388:N388)</f>
        <v>0</v>
      </c>
      <c r="P388" s="78"/>
      <c r="Q388" s="31"/>
      <c r="R388" s="39"/>
    </row>
    <row r="389" spans="1:18" x14ac:dyDescent="0.25">
      <c r="A389" s="38"/>
      <c r="B389" s="92" t="s">
        <v>327</v>
      </c>
      <c r="C389" s="171">
        <f>IF(Caractéristiques!$C$25="Régime général de la sécurité sociale",SUM(L357:N357)*Caractéristiques!$C$28,0)</f>
        <v>0</v>
      </c>
      <c r="D389" s="171"/>
      <c r="E389" s="171"/>
      <c r="F389" s="171">
        <f>IF(Caractéristiques!$C$25="Régime général de la sécurité sociale",SUM(C378:E378)*Caractéristiques!$C$28,0)</f>
        <v>0</v>
      </c>
      <c r="G389" s="171"/>
      <c r="H389" s="171"/>
      <c r="I389" s="171">
        <f>IF(Caractéristiques!$C$25="Régime général de la sécurité sociale",SUM(F378:H378)*Caractéristiques!$C$28,0)</f>
        <v>0</v>
      </c>
      <c r="J389" s="171"/>
      <c r="K389" s="171"/>
      <c r="L389" s="171">
        <f>IF(Caractéristiques!$C$25="Régime général de la sécurité sociale",SUM(I378:K378)*Caractéristiques!$C$28,0)</f>
        <v>0</v>
      </c>
      <c r="M389" s="171"/>
      <c r="N389" s="171"/>
      <c r="O389" s="171">
        <f>SUM(C389:N389)</f>
        <v>0</v>
      </c>
      <c r="P389" s="78"/>
      <c r="Q389" s="31"/>
      <c r="R389" s="39"/>
    </row>
    <row r="390" spans="1:18" x14ac:dyDescent="0.25">
      <c r="A390" s="38"/>
      <c r="B390" s="33" t="s">
        <v>328</v>
      </c>
      <c r="C390" s="186">
        <f>IF(Caractéristiques!$C$31="Mensuel",'Calcul prévi'!C388,IF(Caractéristiques!$C$31="Trimestriel",'Calcul prévi'!C389,0))</f>
        <v>0</v>
      </c>
      <c r="D390" s="186">
        <f>IF(Caractéristiques!$C$31="Mensuel",'Calcul prévi'!D388,IF(Caractéristiques!$C$31="Trimestriel",'Calcul prévi'!D389,0))</f>
        <v>0</v>
      </c>
      <c r="E390" s="186">
        <f>IF(Caractéristiques!$C$31="Mensuel",'Calcul prévi'!E388,IF(Caractéristiques!$C$31="Trimestriel",'Calcul prévi'!E389,0))</f>
        <v>0</v>
      </c>
      <c r="F390" s="186">
        <f>IF(Caractéristiques!$C$31="Mensuel",'Calcul prévi'!F388,IF(Caractéristiques!$C$31="Trimestriel",'Calcul prévi'!F389,0))</f>
        <v>0</v>
      </c>
      <c r="G390" s="186">
        <f>IF(Caractéristiques!$C$31="Mensuel",'Calcul prévi'!G388,IF(Caractéristiques!$C$31="Trimestriel",'Calcul prévi'!G389,0))</f>
        <v>0</v>
      </c>
      <c r="H390" s="186">
        <f>IF(Caractéristiques!$C$31="Mensuel",'Calcul prévi'!H388,IF(Caractéristiques!$C$31="Trimestriel",'Calcul prévi'!H389,0))</f>
        <v>0</v>
      </c>
      <c r="I390" s="186">
        <f>IF(Caractéristiques!$C$31="Mensuel",'Calcul prévi'!I388,IF(Caractéristiques!$C$31="Trimestriel",'Calcul prévi'!I389,0))</f>
        <v>0</v>
      </c>
      <c r="J390" s="186">
        <f>IF(Caractéristiques!$C$31="Mensuel",'Calcul prévi'!J388,IF(Caractéristiques!$C$31="Trimestriel",'Calcul prévi'!J389,0))</f>
        <v>0</v>
      </c>
      <c r="K390" s="186">
        <f>IF(Caractéristiques!$C$31="Mensuel",'Calcul prévi'!K388,IF(Caractéristiques!$C$31="Trimestriel",'Calcul prévi'!K389,0))</f>
        <v>0</v>
      </c>
      <c r="L390" s="186">
        <f>IF(Caractéristiques!$C$31="Mensuel",'Calcul prévi'!L388,IF(Caractéristiques!$C$31="Trimestriel",'Calcul prévi'!L389,0))</f>
        <v>0</v>
      </c>
      <c r="M390" s="186">
        <f>IF(Caractéristiques!$C$31="Mensuel",'Calcul prévi'!M388,IF(Caractéristiques!$C$31="Trimestriel",'Calcul prévi'!M389,0))</f>
        <v>0</v>
      </c>
      <c r="N390" s="186">
        <f>IF(Caractéristiques!$C$31="Mensuel",'Calcul prévi'!N388,IF(Caractéristiques!$C$31="Trimestriel",'Calcul prévi'!N389,0))</f>
        <v>0</v>
      </c>
      <c r="O390" s="186">
        <f>SUM(C390:N390)</f>
        <v>0</v>
      </c>
      <c r="P390" s="78"/>
      <c r="Q390" s="31"/>
      <c r="R390" s="39"/>
    </row>
    <row r="391" spans="1:18" x14ac:dyDescent="0.25">
      <c r="A391" s="38"/>
      <c r="B391" s="33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78"/>
      <c r="Q391" s="31"/>
      <c r="R391" s="39"/>
    </row>
    <row r="392" spans="1:18" x14ac:dyDescent="0.25">
      <c r="A392" s="38"/>
      <c r="B392" s="33" t="s">
        <v>329</v>
      </c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78">
        <f>IF(Caractéristiques!$C$25="Régime général de la sécurité sociale",IF(Caractéristiques!$C$31="Mensuel",N378*Caractéristiques!$C$28,IF(Caractéristiques!$C$31="Trimestriel",SUM(L378:N378)*Caractéristiques!$C$28,0)),0)</f>
        <v>0</v>
      </c>
      <c r="Q392" s="31"/>
      <c r="R392" s="39"/>
    </row>
    <row r="393" spans="1:18" x14ac:dyDescent="0.25">
      <c r="A393" s="38"/>
      <c r="B393" s="33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78"/>
      <c r="Q393" s="31"/>
      <c r="R393" s="39"/>
    </row>
    <row r="394" spans="1:18" s="29" customFormat="1" ht="15" customHeight="1" x14ac:dyDescent="0.25">
      <c r="A394" s="38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9"/>
    </row>
    <row r="395" spans="1:18" x14ac:dyDescent="0.25">
      <c r="A395" s="38"/>
      <c r="B395" s="31" t="s">
        <v>334</v>
      </c>
      <c r="C395" s="31"/>
      <c r="D395" s="120">
        <f>K373</f>
        <v>0</v>
      </c>
      <c r="E395" s="31"/>
      <c r="F395" s="31" t="s">
        <v>337</v>
      </c>
      <c r="G395" s="29"/>
      <c r="H395" s="31"/>
      <c r="I395" s="31"/>
      <c r="J395" s="31"/>
      <c r="K395" s="191">
        <f>IF(Caractéristiques!$C$25="Sécurité sociale des indépendants (RSI)",IF(($O$400+($O$401/(1+Caractéristiques!$G$60)))*Caractéristiques!$C$26&gt;($D$353*Caractéristiques!$C$24),($O$400+($O$401/(1+Caractéristiques!$G$60)))*Caractéristiques!$C$26,Caractéristiques!$C$24*$D$353),0)</f>
        <v>0</v>
      </c>
      <c r="L395" s="31"/>
      <c r="M395" s="31"/>
      <c r="N395" s="31"/>
      <c r="O395" s="31"/>
      <c r="P395" s="31"/>
      <c r="Q395" s="31"/>
      <c r="R395" s="39"/>
    </row>
    <row r="396" spans="1:18" x14ac:dyDescent="0.25">
      <c r="A396" s="38"/>
      <c r="B396" s="31" t="s">
        <v>335</v>
      </c>
      <c r="C396" s="31"/>
      <c r="D396" s="120">
        <f>IF(P385&gt;0,P385,IF(P386&gt;0,-P386,0))</f>
        <v>0</v>
      </c>
      <c r="E396" s="31"/>
      <c r="F396" s="31" t="s">
        <v>349</v>
      </c>
      <c r="G396" s="31"/>
      <c r="H396" s="31"/>
      <c r="I396" s="31"/>
      <c r="J396" s="31"/>
      <c r="K396" s="191">
        <f>IF(Caractéristiques!$C$25="Régime général de la sécurité sociale",Salaires!O40,0)</f>
        <v>0</v>
      </c>
      <c r="L396" s="31"/>
      <c r="M396" s="31"/>
      <c r="N396" s="31"/>
      <c r="O396" s="31"/>
      <c r="P396" s="31"/>
      <c r="Q396" s="31"/>
      <c r="R396" s="39"/>
    </row>
    <row r="397" spans="1:18" x14ac:dyDescent="0.25">
      <c r="A397" s="31"/>
      <c r="B397" s="31" t="s">
        <v>338</v>
      </c>
      <c r="C397" s="31"/>
      <c r="D397" s="120">
        <f>D395+D396</f>
        <v>0</v>
      </c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9"/>
    </row>
    <row r="398" spans="1:18" x14ac:dyDescent="0.25">
      <c r="A398" s="38"/>
      <c r="B398" s="29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9"/>
    </row>
    <row r="399" spans="1:18" ht="18.75" x14ac:dyDescent="0.25">
      <c r="A399" s="38"/>
      <c r="B399" s="45" t="s">
        <v>148</v>
      </c>
      <c r="C399" s="46" t="s">
        <v>149</v>
      </c>
      <c r="D399" s="46" t="s">
        <v>150</v>
      </c>
      <c r="E399" s="46" t="s">
        <v>151</v>
      </c>
      <c r="F399" s="46" t="s">
        <v>152</v>
      </c>
      <c r="G399" s="46" t="s">
        <v>153</v>
      </c>
      <c r="H399" s="46" t="s">
        <v>154</v>
      </c>
      <c r="I399" s="46" t="s">
        <v>155</v>
      </c>
      <c r="J399" s="46" t="s">
        <v>156</v>
      </c>
      <c r="K399" s="46" t="s">
        <v>157</v>
      </c>
      <c r="L399" s="46" t="s">
        <v>158</v>
      </c>
      <c r="M399" s="46" t="s">
        <v>159</v>
      </c>
      <c r="N399" s="46" t="s">
        <v>160</v>
      </c>
      <c r="O399" s="161" t="s">
        <v>20</v>
      </c>
      <c r="P399" s="182"/>
      <c r="Q399" s="31"/>
      <c r="R399" s="39"/>
    </row>
    <row r="400" spans="1:18" x14ac:dyDescent="0.25">
      <c r="A400" s="38"/>
      <c r="B400" s="33" t="s">
        <v>307</v>
      </c>
      <c r="C400" s="54">
        <f>IF(Caractéristiques!$C$35="IS",Salaires!C39,0)</f>
        <v>0</v>
      </c>
      <c r="D400" s="54">
        <f>IF(Caractéristiques!$C$35="IS",Salaires!D39,0)</f>
        <v>0</v>
      </c>
      <c r="E400" s="54">
        <f>IF(Caractéristiques!$C$35="IS",Salaires!E39,0)</f>
        <v>0</v>
      </c>
      <c r="F400" s="54">
        <f>IF(Caractéristiques!$C$35="IS",Salaires!F39,0)</f>
        <v>0</v>
      </c>
      <c r="G400" s="54">
        <f>IF(Caractéristiques!$C$35="IS",Salaires!G39,0)</f>
        <v>0</v>
      </c>
      <c r="H400" s="54">
        <f>IF(Caractéristiques!$C$35="IS",Salaires!H39,0)</f>
        <v>0</v>
      </c>
      <c r="I400" s="54">
        <f>IF(Caractéristiques!$C$35="IS",Salaires!I39,0)</f>
        <v>0</v>
      </c>
      <c r="J400" s="54">
        <f>IF(Caractéristiques!$C$35="IS",Salaires!J39,0)</f>
        <v>0</v>
      </c>
      <c r="K400" s="54">
        <f>IF(Caractéristiques!$C$35="IS",Salaires!K39,0)</f>
        <v>0</v>
      </c>
      <c r="L400" s="54">
        <f>IF(Caractéristiques!$C$35="IS",Salaires!L39,0)</f>
        <v>0</v>
      </c>
      <c r="M400" s="54">
        <f>IF(Caractéristiques!$C$35="IS",Salaires!M39,0)</f>
        <v>0</v>
      </c>
      <c r="N400" s="54">
        <f>IF(Caractéristiques!$C$35="IS",Salaires!N39,0)</f>
        <v>0</v>
      </c>
      <c r="O400" s="54">
        <f>SUM(C400:N400)</f>
        <v>0</v>
      </c>
      <c r="P400" s="78"/>
      <c r="Q400" s="31"/>
      <c r="R400" s="39"/>
    </row>
    <row r="401" spans="1:18" x14ac:dyDescent="0.25">
      <c r="A401" s="38"/>
      <c r="B401" s="33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>
        <f>IF(AND(Caractéristiques!$C$35="IR",Caractéristiques!$C$25="Sécurité sociale des indépendants (RSI)"),'Compte de résultat'!$F$6-'Compte de résultat'!$F$7-'Compte de résultat'!$F$8-'Compte de résultat'!$F$10-'Compte de résultat'!$F$11-'Compte de résultat'!$F$14-'Compte de résultat'!$F$15-'Compte de résultat'!$F$16-'Compte de résultat'!$F$17+'Compte de résultat'!$F$20-'Compte de résultat'!$F$21,0)</f>
        <v>0</v>
      </c>
      <c r="P401" s="78"/>
      <c r="Q401" s="31"/>
      <c r="R401" s="39"/>
    </row>
    <row r="402" spans="1:18" x14ac:dyDescent="0.25">
      <c r="A402" s="38"/>
      <c r="B402" s="92" t="s">
        <v>319</v>
      </c>
      <c r="C402" s="171">
        <f>IF(Caractéristiques!$C$25="Sécurité sociale des indépendants (RSI)",$D$397/12,0)</f>
        <v>0</v>
      </c>
      <c r="D402" s="171">
        <f>IF(Caractéristiques!$C$25="Sécurité sociale des indépendants (RSI)",$D$397/12,0)</f>
        <v>0</v>
      </c>
      <c r="E402" s="171">
        <f>IF(Caractéristiques!$C$25="Sécurité sociale des indépendants (RSI)",$D$397/12,0)</f>
        <v>0</v>
      </c>
      <c r="F402" s="171">
        <f>IF(Caractéristiques!$C$25="Sécurité sociale des indépendants (RSI)",$D$397/12,0)</f>
        <v>0</v>
      </c>
      <c r="G402" s="171">
        <f>IF(Caractéristiques!$C$25="Sécurité sociale des indépendants (RSI)",$D$397/12,0)</f>
        <v>0</v>
      </c>
      <c r="H402" s="171">
        <f>IF(Caractéristiques!$C$25="Sécurité sociale des indépendants (RSI)",$D$397/12,0)</f>
        <v>0</v>
      </c>
      <c r="I402" s="171">
        <f>IF(Caractéristiques!$C$25="Sécurité sociale des indépendants (RSI)",$D$397/12,0)</f>
        <v>0</v>
      </c>
      <c r="J402" s="171">
        <f>IF(Caractéristiques!$C$25="Sécurité sociale des indépendants (RSI)",$D$397/12,0)</f>
        <v>0</v>
      </c>
      <c r="K402" s="171">
        <f>IF(Caractéristiques!$C$25="Sécurité sociale des indépendants (RSI)",$D$397/12,0)</f>
        <v>0</v>
      </c>
      <c r="L402" s="171">
        <f>IF(Caractéristiques!$C$25="Sécurité sociale des indépendants (RSI)",$D$397/12,0)</f>
        <v>0</v>
      </c>
      <c r="M402" s="171">
        <f>IF(Caractéristiques!$C$25="Sécurité sociale des indépendants (RSI)",$D$397/12,0)</f>
        <v>0</v>
      </c>
      <c r="N402" s="171">
        <f>IF(Caractéristiques!$C$25="Sécurité sociale des indépendants (RSI)",$D$397/12,0)</f>
        <v>0</v>
      </c>
      <c r="O402" s="171">
        <f>SUM(C402:N402)</f>
        <v>0</v>
      </c>
      <c r="P402" s="78"/>
      <c r="Q402" s="31"/>
      <c r="R402" s="39"/>
    </row>
    <row r="403" spans="1:18" x14ac:dyDescent="0.25">
      <c r="A403" s="38"/>
      <c r="B403" s="92" t="s">
        <v>320</v>
      </c>
      <c r="C403" s="171"/>
      <c r="D403" s="171">
        <f>IF(Caractéristiques!$C$25="Sécurité sociale des indépendants (RSI)",$D$397/4,0)</f>
        <v>0</v>
      </c>
      <c r="E403" s="171"/>
      <c r="F403" s="171"/>
      <c r="G403" s="171">
        <f>IF(Caractéristiques!$C$25="Sécurité sociale des indépendants (RSI)",$D$397/4,0)</f>
        <v>0</v>
      </c>
      <c r="H403" s="171"/>
      <c r="I403" s="171"/>
      <c r="J403" s="171">
        <f>IF(Caractéristiques!$C$25="Sécurité sociale des indépendants (RSI)",$D$397/4,0)</f>
        <v>0</v>
      </c>
      <c r="K403" s="171"/>
      <c r="L403" s="171"/>
      <c r="M403" s="171">
        <f>IF(Caractéristiques!$C$25="Sécurité sociale des indépendants (RSI)",$D$397/4,0)</f>
        <v>0</v>
      </c>
      <c r="N403" s="171"/>
      <c r="O403" s="171">
        <f>SUM(C403:N403)</f>
        <v>0</v>
      </c>
      <c r="P403" s="78"/>
      <c r="Q403" s="31"/>
      <c r="R403" s="39"/>
    </row>
    <row r="404" spans="1:18" x14ac:dyDescent="0.25">
      <c r="A404" s="38"/>
      <c r="B404" s="33" t="s">
        <v>321</v>
      </c>
      <c r="C404" s="186">
        <f>IF((C402+C403)&gt;0,IF(Caractéristiques!$C$27="Mensuel",'Calcul prévi'!C402,IF(Caractéristiques!$C$27="Trimestriel",'Calcul prévi'!C403,0)),0)</f>
        <v>0</v>
      </c>
      <c r="D404" s="186">
        <f>IF((D402+D403)&gt;0,IF(Caractéristiques!$C$27="Mensuel",'Calcul prévi'!D402,IF(Caractéristiques!$C$27="Trimestriel",'Calcul prévi'!D403,0)),0)</f>
        <v>0</v>
      </c>
      <c r="E404" s="186">
        <f>IF((E402+E403)&gt;0,IF(Caractéristiques!$C$27="Mensuel",'Calcul prévi'!E402,IF(Caractéristiques!$C$27="Trimestriel",'Calcul prévi'!E403,0)),0)</f>
        <v>0</v>
      </c>
      <c r="F404" s="186">
        <f>IF((F402+F403)&gt;0,IF(Caractéristiques!$C$27="Mensuel",'Calcul prévi'!F402,IF(Caractéristiques!$C$27="Trimestriel",'Calcul prévi'!F403,0)),0)</f>
        <v>0</v>
      </c>
      <c r="G404" s="186">
        <f>IF((G402+G403)&gt;0,IF(Caractéristiques!$C$27="Mensuel",'Calcul prévi'!G402,IF(Caractéristiques!$C$27="Trimestriel",'Calcul prévi'!G403,0)),0)</f>
        <v>0</v>
      </c>
      <c r="H404" s="186">
        <f>IF((H402+H403)&gt;0,IF(Caractéristiques!$C$27="Mensuel",'Calcul prévi'!H402,IF(Caractéristiques!$C$27="Trimestriel",'Calcul prévi'!H403,0)),0)</f>
        <v>0</v>
      </c>
      <c r="I404" s="186">
        <f>IF((I402+I403)&gt;0,IF(Caractéristiques!$C$27="Mensuel",'Calcul prévi'!I402,IF(Caractéristiques!$C$27="Trimestriel",'Calcul prévi'!I403,0)),0)</f>
        <v>0</v>
      </c>
      <c r="J404" s="186">
        <f>IF((J402+J403)&gt;0,IF(Caractéristiques!$C$27="Mensuel",'Calcul prévi'!J402,IF(Caractéristiques!$C$27="Trimestriel",'Calcul prévi'!J403,0)),0)</f>
        <v>0</v>
      </c>
      <c r="K404" s="186">
        <f>IF((K402+K403)&gt;0,IF(Caractéristiques!$C$27="Mensuel",'Calcul prévi'!K402,IF(Caractéristiques!$C$27="Trimestriel",'Calcul prévi'!K403,0)),0)</f>
        <v>0</v>
      </c>
      <c r="L404" s="186">
        <f>IF((L402+L403)&gt;0,IF(Caractéristiques!$C$27="Mensuel",'Calcul prévi'!L402,IF(Caractéristiques!$C$27="Trimestriel",'Calcul prévi'!L403,0)),0)</f>
        <v>0</v>
      </c>
      <c r="M404" s="186">
        <f>IF((M402+M403)&gt;0,IF(Caractéristiques!$C$27="Mensuel",'Calcul prévi'!M402,IF(Caractéristiques!$C$27="Trimestriel",'Calcul prévi'!M403,0)),0)</f>
        <v>0</v>
      </c>
      <c r="N404" s="186">
        <f>IF((N402+N403)&gt;0,IF(Caractéristiques!$C$27="Mensuel",'Calcul prévi'!N402,IF(Caractéristiques!$C$27="Trimestriel",'Calcul prévi'!N403,0)),0)</f>
        <v>0</v>
      </c>
      <c r="O404" s="186">
        <f>SUM(C404:N404)</f>
        <v>0</v>
      </c>
      <c r="P404" s="78"/>
      <c r="Q404" s="31"/>
      <c r="R404" s="39"/>
    </row>
    <row r="405" spans="1:18" x14ac:dyDescent="0.25">
      <c r="A405" s="38"/>
      <c r="B405" s="33" t="s">
        <v>336</v>
      </c>
      <c r="C405" s="186">
        <f>IF((C402+C403)&lt;0,IF(Caractéristiques!$C$27="Mensuel",-'Calcul prévi'!C402,IF(Caractéristiques!$C$27="Trimestriel",-'Calcul prévi'!C403,0)),0)</f>
        <v>0</v>
      </c>
      <c r="D405" s="186">
        <f>IF((D402+D403)&lt;0,IF(Caractéristiques!$C$27="Mensuel",-'Calcul prévi'!D402,IF(Caractéristiques!$C$27="Trimestriel",-'Calcul prévi'!D403,0)),0)</f>
        <v>0</v>
      </c>
      <c r="E405" s="186">
        <f>IF((E402+E403)&lt;0,IF(Caractéristiques!$C$27="Mensuel",-'Calcul prévi'!E402,IF(Caractéristiques!$C$27="Trimestriel",-'Calcul prévi'!E403,0)),0)</f>
        <v>0</v>
      </c>
      <c r="F405" s="186">
        <f>IF((F402+F403)&lt;0,IF(Caractéristiques!$C$27="Mensuel",-'Calcul prévi'!F402,IF(Caractéristiques!$C$27="Trimestriel",-'Calcul prévi'!F403,0)),0)</f>
        <v>0</v>
      </c>
      <c r="G405" s="186">
        <f>IF((G402+G403)&lt;0,IF(Caractéristiques!$C$27="Mensuel",-'Calcul prévi'!G402,IF(Caractéristiques!$C$27="Trimestriel",-'Calcul prévi'!G403,0)),0)</f>
        <v>0</v>
      </c>
      <c r="H405" s="186">
        <f>IF((H402+H403)&lt;0,IF(Caractéristiques!$C$27="Mensuel",-'Calcul prévi'!H402,IF(Caractéristiques!$C$27="Trimestriel",-'Calcul prévi'!H403,0)),0)</f>
        <v>0</v>
      </c>
      <c r="I405" s="186">
        <f>IF((I402+I403)&lt;0,IF(Caractéristiques!$C$27="Mensuel",-'Calcul prévi'!I402,IF(Caractéristiques!$C$27="Trimestriel",-'Calcul prévi'!I403,0)),0)</f>
        <v>0</v>
      </c>
      <c r="J405" s="186">
        <f>IF((J402+J403)&lt;0,IF(Caractéristiques!$C$27="Mensuel",-'Calcul prévi'!J402,IF(Caractéristiques!$C$27="Trimestriel",-'Calcul prévi'!J403,0)),0)</f>
        <v>0</v>
      </c>
      <c r="K405" s="186">
        <f>IF((K402+K403)&lt;0,IF(Caractéristiques!$C$27="Mensuel",-'Calcul prévi'!K402,IF(Caractéristiques!$C$27="Trimestriel",-'Calcul prévi'!K403,0)),0)</f>
        <v>0</v>
      </c>
      <c r="L405" s="186">
        <f>IF((L402+L403)&lt;0,IF(Caractéristiques!$C$27="Mensuel",-'Calcul prévi'!L402,IF(Caractéristiques!$C$27="Trimestriel",-'Calcul prévi'!L403,0)),0)</f>
        <v>0</v>
      </c>
      <c r="M405" s="186">
        <f>IF((M402+M403)&lt;0,IF(Caractéristiques!$C$27="Mensuel",-'Calcul prévi'!M402,IF(Caractéristiques!$C$27="Trimestriel",-'Calcul prévi'!M403,0)),0)</f>
        <v>0</v>
      </c>
      <c r="N405" s="186">
        <f>IF((N402+N403)&lt;0,IF(Caractéristiques!$C$27="Mensuel",-'Calcul prévi'!N402,IF(Caractéristiques!$C$27="Trimestriel",-'Calcul prévi'!N403,0)),0)</f>
        <v>0</v>
      </c>
      <c r="O405" s="186">
        <f>SUM(C405:N405)</f>
        <v>0</v>
      </c>
      <c r="P405" s="78"/>
      <c r="Q405" s="31"/>
      <c r="R405" s="39"/>
    </row>
    <row r="406" spans="1:18" x14ac:dyDescent="0.25">
      <c r="A406" s="38"/>
      <c r="B406" s="33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78"/>
      <c r="Q406" s="31"/>
      <c r="R406" s="39"/>
    </row>
    <row r="407" spans="1:18" x14ac:dyDescent="0.25">
      <c r="A407" s="38"/>
      <c r="B407" s="33" t="s">
        <v>322</v>
      </c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78">
        <f>IF(Caractéristiques!$C$25="Sécurité sociale des indépendants (RSI)",IF(K395&gt;D395,K395-D395,0),0)</f>
        <v>0</v>
      </c>
      <c r="Q407" s="31"/>
      <c r="R407" s="39"/>
    </row>
    <row r="408" spans="1:18" x14ac:dyDescent="0.25">
      <c r="A408" s="38"/>
      <c r="B408" s="33" t="s">
        <v>324</v>
      </c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78">
        <f>IF(Caractéristiques!$C$25="Sécurité sociale des indépendants (RSI)",IF(K395&lt;D395,D395-K395,0),0)</f>
        <v>0</v>
      </c>
      <c r="Q408" s="31"/>
      <c r="R408" s="39"/>
    </row>
    <row r="409" spans="1:18" x14ac:dyDescent="0.25">
      <c r="A409" s="38"/>
      <c r="B409" s="33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78"/>
      <c r="Q409" s="31"/>
      <c r="R409" s="39"/>
    </row>
    <row r="410" spans="1:18" x14ac:dyDescent="0.25">
      <c r="A410" s="38"/>
      <c r="B410" s="92" t="s">
        <v>326</v>
      </c>
      <c r="C410" s="171">
        <f>IF(Caractéristiques!$C$25="Régime général de la sécurité sociale",N378*Caractéristiques!$C$28,0)</f>
        <v>0</v>
      </c>
      <c r="D410" s="171">
        <f>IF(Caractéristiques!$C$25="Régime général de la sécurité sociale",C400*Caractéristiques!$C$28,0)</f>
        <v>0</v>
      </c>
      <c r="E410" s="171">
        <f>IF(Caractéristiques!$C$25="Régime général de la sécurité sociale",D400*Caractéristiques!$C$28,0)</f>
        <v>0</v>
      </c>
      <c r="F410" s="171">
        <f>IF(Caractéristiques!$C$25="Régime général de la sécurité sociale",E400*Caractéristiques!$C$28,0)</f>
        <v>0</v>
      </c>
      <c r="G410" s="171">
        <f>IF(Caractéristiques!$C$25="Régime général de la sécurité sociale",F400*Caractéristiques!$C$28,0)</f>
        <v>0</v>
      </c>
      <c r="H410" s="171">
        <f>IF(Caractéristiques!$C$25="Régime général de la sécurité sociale",G400*Caractéristiques!$C$28,0)</f>
        <v>0</v>
      </c>
      <c r="I410" s="171">
        <f>IF(Caractéristiques!$C$25="Régime général de la sécurité sociale",H400*Caractéristiques!$C$28,0)</f>
        <v>0</v>
      </c>
      <c r="J410" s="171">
        <f>IF(Caractéristiques!$C$25="Régime général de la sécurité sociale",I400*Caractéristiques!$C$28,0)</f>
        <v>0</v>
      </c>
      <c r="K410" s="171">
        <f>IF(Caractéristiques!$C$25="Régime général de la sécurité sociale",J400*Caractéristiques!$C$28,0)</f>
        <v>0</v>
      </c>
      <c r="L410" s="171">
        <f>IF(Caractéristiques!$C$25="Régime général de la sécurité sociale",K400*Caractéristiques!$C$28,0)</f>
        <v>0</v>
      </c>
      <c r="M410" s="171">
        <f>IF(Caractéristiques!$C$25="Régime général de la sécurité sociale",L400*Caractéristiques!$C$28,0)</f>
        <v>0</v>
      </c>
      <c r="N410" s="171">
        <f>IF(Caractéristiques!$C$25="Régime général de la sécurité sociale",M400*Caractéristiques!$C$28,0)</f>
        <v>0</v>
      </c>
      <c r="O410" s="171">
        <f>SUM(C410:N410)</f>
        <v>0</v>
      </c>
      <c r="P410" s="78"/>
      <c r="Q410" s="31"/>
      <c r="R410" s="39"/>
    </row>
    <row r="411" spans="1:18" x14ac:dyDescent="0.25">
      <c r="A411" s="38"/>
      <c r="B411" s="92" t="s">
        <v>327</v>
      </c>
      <c r="C411" s="171">
        <f>IF(Caractéristiques!$C$25="Régime général de la sécurité sociale",SUM(L378:N378)*Caractéristiques!$C$28,0)</f>
        <v>0</v>
      </c>
      <c r="D411" s="171"/>
      <c r="E411" s="171"/>
      <c r="F411" s="171">
        <f>IF(Caractéristiques!$C$25="Régime général de la sécurité sociale",SUM(C400:E400)*Caractéristiques!$C$28,0)</f>
        <v>0</v>
      </c>
      <c r="G411" s="171"/>
      <c r="H411" s="171"/>
      <c r="I411" s="171">
        <f>IF(Caractéristiques!$C$25="Régime général de la sécurité sociale",SUM(F400:H400)*Caractéristiques!$C$28,0)</f>
        <v>0</v>
      </c>
      <c r="J411" s="171"/>
      <c r="K411" s="171"/>
      <c r="L411" s="171">
        <f>IF(Caractéristiques!$C$25="Régime général de la sécurité sociale",SUM(I400:K400)*Caractéristiques!$C$28,0)</f>
        <v>0</v>
      </c>
      <c r="M411" s="171"/>
      <c r="N411" s="171"/>
      <c r="O411" s="171">
        <f>SUM(C411:N411)</f>
        <v>0</v>
      </c>
      <c r="P411" s="78"/>
      <c r="Q411" s="31"/>
      <c r="R411" s="39"/>
    </row>
    <row r="412" spans="1:18" x14ac:dyDescent="0.25">
      <c r="A412" s="38"/>
      <c r="B412" s="33" t="s">
        <v>328</v>
      </c>
      <c r="C412" s="186">
        <f>IF(Caractéristiques!$C$31="Mensuel",'Calcul prévi'!C410,IF(Caractéristiques!$C$31="Trimestriel",'Calcul prévi'!C411,0))</f>
        <v>0</v>
      </c>
      <c r="D412" s="186">
        <f>IF(Caractéristiques!$C$31="Mensuel",'Calcul prévi'!D410,IF(Caractéristiques!$C$31="Trimestriel",'Calcul prévi'!D411,0))</f>
        <v>0</v>
      </c>
      <c r="E412" s="186">
        <f>IF(Caractéristiques!$C$31="Mensuel",'Calcul prévi'!E410,IF(Caractéristiques!$C$31="Trimestriel",'Calcul prévi'!E411,0))</f>
        <v>0</v>
      </c>
      <c r="F412" s="186">
        <f>IF(Caractéristiques!$C$31="Mensuel",'Calcul prévi'!F410,IF(Caractéristiques!$C$31="Trimestriel",'Calcul prévi'!F411,0))</f>
        <v>0</v>
      </c>
      <c r="G412" s="186">
        <f>IF(Caractéristiques!$C$31="Mensuel",'Calcul prévi'!G410,IF(Caractéristiques!$C$31="Trimestriel",'Calcul prévi'!G411,0))</f>
        <v>0</v>
      </c>
      <c r="H412" s="186">
        <f>IF(Caractéristiques!$C$31="Mensuel",'Calcul prévi'!H410,IF(Caractéristiques!$C$31="Trimestriel",'Calcul prévi'!H411,0))</f>
        <v>0</v>
      </c>
      <c r="I412" s="186">
        <f>IF(Caractéristiques!$C$31="Mensuel",'Calcul prévi'!I410,IF(Caractéristiques!$C$31="Trimestriel",'Calcul prévi'!I411,0))</f>
        <v>0</v>
      </c>
      <c r="J412" s="186">
        <f>IF(Caractéristiques!$C$31="Mensuel",'Calcul prévi'!J410,IF(Caractéristiques!$C$31="Trimestriel",'Calcul prévi'!J411,0))</f>
        <v>0</v>
      </c>
      <c r="K412" s="186">
        <f>IF(Caractéristiques!$C$31="Mensuel",'Calcul prévi'!K410,IF(Caractéristiques!$C$31="Trimestriel",'Calcul prévi'!K411,0))</f>
        <v>0</v>
      </c>
      <c r="L412" s="186">
        <f>IF(Caractéristiques!$C$31="Mensuel",'Calcul prévi'!L410,IF(Caractéristiques!$C$31="Trimestriel",'Calcul prévi'!L411,0))</f>
        <v>0</v>
      </c>
      <c r="M412" s="186">
        <f>IF(Caractéristiques!$C$31="Mensuel",'Calcul prévi'!M410,IF(Caractéristiques!$C$31="Trimestriel",'Calcul prévi'!M411,0))</f>
        <v>0</v>
      </c>
      <c r="N412" s="186">
        <f>IF(Caractéristiques!$C$31="Mensuel",'Calcul prévi'!N410,IF(Caractéristiques!$C$31="Trimestriel",'Calcul prévi'!N411,0))</f>
        <v>0</v>
      </c>
      <c r="O412" s="186">
        <f>SUM(C412:N412)</f>
        <v>0</v>
      </c>
      <c r="P412" s="78"/>
      <c r="Q412" s="31"/>
      <c r="R412" s="39"/>
    </row>
    <row r="413" spans="1:18" x14ac:dyDescent="0.25">
      <c r="A413" s="38"/>
      <c r="B413" s="33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78"/>
      <c r="Q413" s="31"/>
      <c r="R413" s="39"/>
    </row>
    <row r="414" spans="1:18" x14ac:dyDescent="0.25">
      <c r="A414" s="38"/>
      <c r="B414" s="33" t="s">
        <v>329</v>
      </c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78">
        <f>IF(Caractéristiques!$C$25="Régime général de la sécurité sociale",IF(Caractéristiques!$C$31="Mensuel",N400*Caractéristiques!$C$28,IF(Caractéristiques!$C$31="Trimestriel",SUM(L400:N400)*Caractéristiques!$C$28,0)),0)</f>
        <v>0</v>
      </c>
      <c r="Q414" s="31"/>
      <c r="R414" s="39"/>
    </row>
    <row r="415" spans="1:18" x14ac:dyDescent="0.25">
      <c r="A415" s="38"/>
      <c r="B415" s="33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78"/>
      <c r="Q415" s="31"/>
      <c r="R415" s="39"/>
    </row>
    <row r="416" spans="1:18" x14ac:dyDescent="0.25">
      <c r="A416" s="38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9"/>
    </row>
    <row r="417" spans="1:18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9"/>
    </row>
    <row r="418" spans="1:18" ht="18.75" x14ac:dyDescent="0.3">
      <c r="A418" s="31"/>
      <c r="B418" s="81" t="s">
        <v>339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9"/>
    </row>
    <row r="419" spans="1:18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9"/>
    </row>
    <row r="420" spans="1:18" ht="18.75" x14ac:dyDescent="0.25">
      <c r="A420" s="38"/>
      <c r="B420" s="45" t="s">
        <v>146</v>
      </c>
      <c r="C420" s="46" t="s">
        <v>149</v>
      </c>
      <c r="D420" s="46" t="s">
        <v>150</v>
      </c>
      <c r="E420" s="46" t="s">
        <v>151</v>
      </c>
      <c r="F420" s="46" t="s">
        <v>152</v>
      </c>
      <c r="G420" s="46" t="s">
        <v>153</v>
      </c>
      <c r="H420" s="46" t="s">
        <v>154</v>
      </c>
      <c r="I420" s="46" t="s">
        <v>155</v>
      </c>
      <c r="J420" s="46" t="s">
        <v>156</v>
      </c>
      <c r="K420" s="46" t="s">
        <v>157</v>
      </c>
      <c r="L420" s="46" t="s">
        <v>158</v>
      </c>
      <c r="M420" s="46" t="s">
        <v>159</v>
      </c>
      <c r="N420" s="46" t="s">
        <v>160</v>
      </c>
      <c r="O420" s="161" t="s">
        <v>20</v>
      </c>
      <c r="P420" s="182"/>
      <c r="Q420" s="31"/>
      <c r="R420" s="39"/>
    </row>
    <row r="421" spans="1:18" x14ac:dyDescent="0.25">
      <c r="A421" s="38"/>
      <c r="B421" s="33" t="s">
        <v>308</v>
      </c>
      <c r="C421" s="54">
        <f>Salaires!C59</f>
        <v>0</v>
      </c>
      <c r="D421" s="54">
        <f>Salaires!D59</f>
        <v>0</v>
      </c>
      <c r="E421" s="54">
        <f>Salaires!E59</f>
        <v>0</v>
      </c>
      <c r="F421" s="54">
        <f>Salaires!F59</f>
        <v>0</v>
      </c>
      <c r="G421" s="54">
        <f>Salaires!G59</f>
        <v>0</v>
      </c>
      <c r="H421" s="54">
        <f>Salaires!H59</f>
        <v>0</v>
      </c>
      <c r="I421" s="54">
        <f>Salaires!I59</f>
        <v>0</v>
      </c>
      <c r="J421" s="54">
        <f>Salaires!J59</f>
        <v>0</v>
      </c>
      <c r="K421" s="54">
        <f>Salaires!K59</f>
        <v>0</v>
      </c>
      <c r="L421" s="54">
        <f>Salaires!L59</f>
        <v>0</v>
      </c>
      <c r="M421" s="54">
        <f>Salaires!M59</f>
        <v>0</v>
      </c>
      <c r="N421" s="54">
        <f>Salaires!N59</f>
        <v>0</v>
      </c>
      <c r="O421" s="54">
        <f>SUM(C421:N421)</f>
        <v>0</v>
      </c>
      <c r="P421" s="78"/>
      <c r="Q421" s="31"/>
      <c r="R421" s="39"/>
    </row>
    <row r="422" spans="1:18" x14ac:dyDescent="0.25">
      <c r="A422" s="38"/>
      <c r="B422" s="33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78"/>
      <c r="Q422" s="31"/>
      <c r="R422" s="39"/>
    </row>
    <row r="423" spans="1:18" x14ac:dyDescent="0.25">
      <c r="A423" s="38"/>
      <c r="B423" s="92" t="s">
        <v>326</v>
      </c>
      <c r="C423" s="171"/>
      <c r="D423" s="171">
        <f>Salaires!C58</f>
        <v>0</v>
      </c>
      <c r="E423" s="171">
        <f>Salaires!D58</f>
        <v>0</v>
      </c>
      <c r="F423" s="171">
        <f>Salaires!E58</f>
        <v>0</v>
      </c>
      <c r="G423" s="171">
        <f>Salaires!F58</f>
        <v>0</v>
      </c>
      <c r="H423" s="171">
        <f>Salaires!G58</f>
        <v>0</v>
      </c>
      <c r="I423" s="171">
        <f>Salaires!H58</f>
        <v>0</v>
      </c>
      <c r="J423" s="171">
        <f>Salaires!I58</f>
        <v>0</v>
      </c>
      <c r="K423" s="171">
        <f>Salaires!J58</f>
        <v>0</v>
      </c>
      <c r="L423" s="171">
        <f>Salaires!K58</f>
        <v>0</v>
      </c>
      <c r="M423" s="171">
        <f>Salaires!L58</f>
        <v>0</v>
      </c>
      <c r="N423" s="171">
        <f>Salaires!M58</f>
        <v>0</v>
      </c>
      <c r="O423" s="171">
        <f>SUM(C423:N423)</f>
        <v>0</v>
      </c>
      <c r="P423" s="78"/>
      <c r="Q423" s="31"/>
      <c r="R423" s="39"/>
    </row>
    <row r="424" spans="1:18" x14ac:dyDescent="0.25">
      <c r="A424" s="38"/>
      <c r="B424" s="92" t="s">
        <v>327</v>
      </c>
      <c r="C424" s="171"/>
      <c r="D424" s="171"/>
      <c r="E424" s="171"/>
      <c r="F424" s="171">
        <f>SUM(Salaires!C58:E58)</f>
        <v>0</v>
      </c>
      <c r="G424" s="171"/>
      <c r="H424" s="171"/>
      <c r="I424" s="171">
        <f>SUM(Salaires!F58:H58)</f>
        <v>0</v>
      </c>
      <c r="J424" s="171"/>
      <c r="K424" s="171"/>
      <c r="L424" s="171">
        <f>SUM(Salaires!I58:K58)</f>
        <v>0</v>
      </c>
      <c r="M424" s="171"/>
      <c r="N424" s="171"/>
      <c r="O424" s="171">
        <f>SUM(C424:N424)</f>
        <v>0</v>
      </c>
      <c r="P424" s="78"/>
      <c r="Q424" s="31"/>
      <c r="R424" s="39"/>
    </row>
    <row r="425" spans="1:18" x14ac:dyDescent="0.25">
      <c r="A425" s="38"/>
      <c r="B425" s="33" t="s">
        <v>328</v>
      </c>
      <c r="C425" s="186">
        <f>IF(Caractéristiques!$C$31="Mensuel",'Calcul prévi'!C423,IF(Caractéristiques!$C$31="Trimestriel",'Calcul prévi'!C424,0))</f>
        <v>0</v>
      </c>
      <c r="D425" s="186">
        <f>IF(Caractéristiques!$C$31="Mensuel",'Calcul prévi'!D423,IF(Caractéristiques!$C$31="Trimestriel",'Calcul prévi'!D424,0))</f>
        <v>0</v>
      </c>
      <c r="E425" s="186">
        <f>IF(Caractéristiques!$C$31="Mensuel",'Calcul prévi'!E423,IF(Caractéristiques!$C$31="Trimestriel",'Calcul prévi'!E424,0))</f>
        <v>0</v>
      </c>
      <c r="F425" s="186">
        <f>IF(Caractéristiques!$C$31="Mensuel",'Calcul prévi'!F423,IF(Caractéristiques!$C$31="Trimestriel",'Calcul prévi'!F424,0))</f>
        <v>0</v>
      </c>
      <c r="G425" s="186">
        <f>IF(Caractéristiques!$C$31="Mensuel",'Calcul prévi'!G423,IF(Caractéristiques!$C$31="Trimestriel",'Calcul prévi'!G424,0))</f>
        <v>0</v>
      </c>
      <c r="H425" s="186">
        <f>IF(Caractéristiques!$C$31="Mensuel",'Calcul prévi'!H423,IF(Caractéristiques!$C$31="Trimestriel",'Calcul prévi'!H424,0))</f>
        <v>0</v>
      </c>
      <c r="I425" s="186">
        <f>IF(Caractéristiques!$C$31="Mensuel",'Calcul prévi'!I423,IF(Caractéristiques!$C$31="Trimestriel",'Calcul prévi'!I424,0))</f>
        <v>0</v>
      </c>
      <c r="J425" s="186">
        <f>IF(Caractéristiques!$C$31="Mensuel",'Calcul prévi'!J423,IF(Caractéristiques!$C$31="Trimestriel",'Calcul prévi'!J424,0))</f>
        <v>0</v>
      </c>
      <c r="K425" s="186">
        <f>IF(Caractéristiques!$C$31="Mensuel",'Calcul prévi'!K423,IF(Caractéristiques!$C$31="Trimestriel",'Calcul prévi'!K424,0))</f>
        <v>0</v>
      </c>
      <c r="L425" s="186">
        <f>IF(Caractéristiques!$C$31="Mensuel",'Calcul prévi'!L423,IF(Caractéristiques!$C$31="Trimestriel",'Calcul prévi'!L424,0))</f>
        <v>0</v>
      </c>
      <c r="M425" s="186">
        <f>IF(Caractéristiques!$C$31="Mensuel",'Calcul prévi'!M423,IF(Caractéristiques!$C$31="Trimestriel",'Calcul prévi'!M424,0))</f>
        <v>0</v>
      </c>
      <c r="N425" s="186">
        <f>IF(Caractéristiques!$C$31="Mensuel",'Calcul prévi'!N423,IF(Caractéristiques!$C$31="Trimestriel",'Calcul prévi'!N424,0))</f>
        <v>0</v>
      </c>
      <c r="O425" s="186">
        <f>SUM(C425:N425)</f>
        <v>0</v>
      </c>
      <c r="P425" s="78"/>
      <c r="Q425" s="31"/>
      <c r="R425" s="39"/>
    </row>
    <row r="426" spans="1:18" x14ac:dyDescent="0.25">
      <c r="A426" s="38"/>
      <c r="B426" s="33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78"/>
      <c r="Q426" s="31"/>
      <c r="R426" s="39"/>
    </row>
    <row r="427" spans="1:18" x14ac:dyDescent="0.25">
      <c r="A427" s="38"/>
      <c r="B427" s="33" t="s">
        <v>329</v>
      </c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78">
        <f>IF(Caractéristiques!$C$31="Mensuel",Salaires!N58,IF(Caractéristiques!$C$31="Trimestriel",SUM(Salaires!L58:N58),0))</f>
        <v>0</v>
      </c>
      <c r="Q427" s="31"/>
      <c r="R427" s="39"/>
    </row>
    <row r="428" spans="1:18" x14ac:dyDescent="0.25">
      <c r="A428" s="38"/>
      <c r="B428" s="33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78"/>
      <c r="Q428" s="31"/>
      <c r="R428" s="39"/>
    </row>
    <row r="429" spans="1:18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9"/>
    </row>
    <row r="430" spans="1:18" ht="18.75" x14ac:dyDescent="0.25">
      <c r="A430" s="38"/>
      <c r="B430" s="45" t="s">
        <v>147</v>
      </c>
      <c r="C430" s="46" t="s">
        <v>149</v>
      </c>
      <c r="D430" s="46" t="s">
        <v>150</v>
      </c>
      <c r="E430" s="46" t="s">
        <v>151</v>
      </c>
      <c r="F430" s="46" t="s">
        <v>152</v>
      </c>
      <c r="G430" s="46" t="s">
        <v>153</v>
      </c>
      <c r="H430" s="46" t="s">
        <v>154</v>
      </c>
      <c r="I430" s="46" t="s">
        <v>155</v>
      </c>
      <c r="J430" s="46" t="s">
        <v>156</v>
      </c>
      <c r="K430" s="46" t="s">
        <v>157</v>
      </c>
      <c r="L430" s="46" t="s">
        <v>158</v>
      </c>
      <c r="M430" s="46" t="s">
        <v>159</v>
      </c>
      <c r="N430" s="46" t="s">
        <v>160</v>
      </c>
      <c r="O430" s="161" t="s">
        <v>20</v>
      </c>
      <c r="P430" s="182"/>
      <c r="Q430" s="31"/>
      <c r="R430" s="39"/>
    </row>
    <row r="431" spans="1:18" x14ac:dyDescent="0.25">
      <c r="A431" s="38"/>
      <c r="B431" s="33" t="s">
        <v>308</v>
      </c>
      <c r="C431" s="54">
        <f>Salaires!C76</f>
        <v>0</v>
      </c>
      <c r="D431" s="54">
        <f>Salaires!D76</f>
        <v>0</v>
      </c>
      <c r="E431" s="54">
        <f>Salaires!E76</f>
        <v>0</v>
      </c>
      <c r="F431" s="54">
        <f>Salaires!F76</f>
        <v>0</v>
      </c>
      <c r="G431" s="54">
        <f>Salaires!G76</f>
        <v>0</v>
      </c>
      <c r="H431" s="54">
        <f>Salaires!H76</f>
        <v>0</v>
      </c>
      <c r="I431" s="54">
        <f>Salaires!I76</f>
        <v>0</v>
      </c>
      <c r="J431" s="54">
        <f>Salaires!J76</f>
        <v>0</v>
      </c>
      <c r="K431" s="54">
        <f>Salaires!K76</f>
        <v>0</v>
      </c>
      <c r="L431" s="54">
        <f>Salaires!L76</f>
        <v>0</v>
      </c>
      <c r="M431" s="54">
        <f>Salaires!M76</f>
        <v>0</v>
      </c>
      <c r="N431" s="54">
        <f>Salaires!N76</f>
        <v>0</v>
      </c>
      <c r="O431" s="54">
        <f>SUM(C431:N431)</f>
        <v>0</v>
      </c>
      <c r="P431" s="78"/>
      <c r="Q431" s="31"/>
      <c r="R431" s="39"/>
    </row>
    <row r="432" spans="1:18" x14ac:dyDescent="0.25">
      <c r="A432" s="38"/>
      <c r="B432" s="33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78"/>
      <c r="Q432" s="31"/>
      <c r="R432" s="39"/>
    </row>
    <row r="433" spans="1:18" x14ac:dyDescent="0.25">
      <c r="A433" s="38"/>
      <c r="B433" s="92" t="s">
        <v>326</v>
      </c>
      <c r="C433" s="171">
        <f>Salaires!N58</f>
        <v>0</v>
      </c>
      <c r="D433" s="171">
        <f>Salaires!C75</f>
        <v>0</v>
      </c>
      <c r="E433" s="171">
        <f>Salaires!D75</f>
        <v>0</v>
      </c>
      <c r="F433" s="171">
        <f>Salaires!E75</f>
        <v>0</v>
      </c>
      <c r="G433" s="171">
        <f>Salaires!F75</f>
        <v>0</v>
      </c>
      <c r="H433" s="171">
        <f>Salaires!G75</f>
        <v>0</v>
      </c>
      <c r="I433" s="171">
        <f>Salaires!H75</f>
        <v>0</v>
      </c>
      <c r="J433" s="171">
        <f>Salaires!I75</f>
        <v>0</v>
      </c>
      <c r="K433" s="171">
        <f>Salaires!J75</f>
        <v>0</v>
      </c>
      <c r="L433" s="171">
        <f>Salaires!K75</f>
        <v>0</v>
      </c>
      <c r="M433" s="171">
        <f>Salaires!L75</f>
        <v>0</v>
      </c>
      <c r="N433" s="171">
        <f>Salaires!M75</f>
        <v>0</v>
      </c>
      <c r="O433" s="171">
        <f>SUM(C433:N433)</f>
        <v>0</v>
      </c>
      <c r="P433" s="78"/>
      <c r="Q433" s="31"/>
      <c r="R433" s="39"/>
    </row>
    <row r="434" spans="1:18" x14ac:dyDescent="0.25">
      <c r="A434" s="38"/>
      <c r="B434" s="92" t="s">
        <v>327</v>
      </c>
      <c r="C434" s="171">
        <f>SUM(Salaires!L58:N58)</f>
        <v>0</v>
      </c>
      <c r="D434" s="171"/>
      <c r="E434" s="171"/>
      <c r="F434" s="171">
        <f>SUM(Salaires!C75:E75)</f>
        <v>0</v>
      </c>
      <c r="G434" s="171"/>
      <c r="H434" s="171"/>
      <c r="I434" s="171">
        <f>SUM(Salaires!F75:H75)</f>
        <v>0</v>
      </c>
      <c r="J434" s="171"/>
      <c r="K434" s="171"/>
      <c r="L434" s="171">
        <f>SUM(Salaires!I75:K75)</f>
        <v>0</v>
      </c>
      <c r="M434" s="171"/>
      <c r="N434" s="171"/>
      <c r="O434" s="171">
        <f>SUM(C434:N434)</f>
        <v>0</v>
      </c>
      <c r="P434" s="78"/>
      <c r="Q434" s="31"/>
      <c r="R434" s="39"/>
    </row>
    <row r="435" spans="1:18" x14ac:dyDescent="0.25">
      <c r="A435" s="38"/>
      <c r="B435" s="33" t="s">
        <v>328</v>
      </c>
      <c r="C435" s="186">
        <f>IF(Caractéristiques!$C$31="Mensuel",'Calcul prévi'!C433,IF(Caractéristiques!$C$31="Trimestriel",'Calcul prévi'!C434,0))</f>
        <v>0</v>
      </c>
      <c r="D435" s="186">
        <f>IF(Caractéristiques!$C$31="Mensuel",'Calcul prévi'!D433,IF(Caractéristiques!$C$31="Trimestriel",'Calcul prévi'!D434,0))</f>
        <v>0</v>
      </c>
      <c r="E435" s="186">
        <f>IF(Caractéristiques!$C$31="Mensuel",'Calcul prévi'!E433,IF(Caractéristiques!$C$31="Trimestriel",'Calcul prévi'!E434,0))</f>
        <v>0</v>
      </c>
      <c r="F435" s="186">
        <f>IF(Caractéristiques!$C$31="Mensuel",'Calcul prévi'!F433,IF(Caractéristiques!$C$31="Trimestriel",'Calcul prévi'!F434,0))</f>
        <v>0</v>
      </c>
      <c r="G435" s="186">
        <f>IF(Caractéristiques!$C$31="Mensuel",'Calcul prévi'!G433,IF(Caractéristiques!$C$31="Trimestriel",'Calcul prévi'!G434,0))</f>
        <v>0</v>
      </c>
      <c r="H435" s="186">
        <f>IF(Caractéristiques!$C$31="Mensuel",'Calcul prévi'!H433,IF(Caractéristiques!$C$31="Trimestriel",'Calcul prévi'!H434,0))</f>
        <v>0</v>
      </c>
      <c r="I435" s="186">
        <f>IF(Caractéristiques!$C$31="Mensuel",'Calcul prévi'!I433,IF(Caractéristiques!$C$31="Trimestriel",'Calcul prévi'!I434,0))</f>
        <v>0</v>
      </c>
      <c r="J435" s="186">
        <f>IF(Caractéristiques!$C$31="Mensuel",'Calcul prévi'!J433,IF(Caractéristiques!$C$31="Trimestriel",'Calcul prévi'!J434,0))</f>
        <v>0</v>
      </c>
      <c r="K435" s="186">
        <f>IF(Caractéristiques!$C$31="Mensuel",'Calcul prévi'!K433,IF(Caractéristiques!$C$31="Trimestriel",'Calcul prévi'!K434,0))</f>
        <v>0</v>
      </c>
      <c r="L435" s="186">
        <f>IF(Caractéristiques!$C$31="Mensuel",'Calcul prévi'!L433,IF(Caractéristiques!$C$31="Trimestriel",'Calcul prévi'!L434,0))</f>
        <v>0</v>
      </c>
      <c r="M435" s="186">
        <f>IF(Caractéristiques!$C$31="Mensuel",'Calcul prévi'!M433,IF(Caractéristiques!$C$31="Trimestriel",'Calcul prévi'!M434,0))</f>
        <v>0</v>
      </c>
      <c r="N435" s="186">
        <f>IF(Caractéristiques!$C$31="Mensuel",'Calcul prévi'!N433,IF(Caractéristiques!$C$31="Trimestriel",'Calcul prévi'!N434,0))</f>
        <v>0</v>
      </c>
      <c r="O435" s="186">
        <f>SUM(C435:N435)</f>
        <v>0</v>
      </c>
      <c r="P435" s="78"/>
      <c r="Q435" s="31"/>
      <c r="R435" s="39"/>
    </row>
    <row r="436" spans="1:18" x14ac:dyDescent="0.25">
      <c r="A436" s="38"/>
      <c r="B436" s="33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78"/>
      <c r="Q436" s="31"/>
      <c r="R436" s="39"/>
    </row>
    <row r="437" spans="1:18" x14ac:dyDescent="0.25">
      <c r="A437" s="38"/>
      <c r="B437" s="33" t="s">
        <v>329</v>
      </c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78">
        <f>IF(Caractéristiques!$C$31="Mensuel",Salaires!N75,IF(Caractéristiques!$C$31="Trimestriel",SUM(Salaires!L75:N75),0))</f>
        <v>0</v>
      </c>
      <c r="Q437" s="31"/>
      <c r="R437" s="39"/>
    </row>
    <row r="438" spans="1:18" x14ac:dyDescent="0.25">
      <c r="A438" s="38"/>
      <c r="B438" s="33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78"/>
      <c r="Q438" s="31"/>
      <c r="R438" s="39"/>
    </row>
    <row r="439" spans="1:18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9"/>
    </row>
    <row r="440" spans="1:18" ht="18.75" x14ac:dyDescent="0.25">
      <c r="A440" s="38"/>
      <c r="B440" s="45" t="s">
        <v>148</v>
      </c>
      <c r="C440" s="46" t="s">
        <v>149</v>
      </c>
      <c r="D440" s="46" t="s">
        <v>150</v>
      </c>
      <c r="E440" s="46" t="s">
        <v>151</v>
      </c>
      <c r="F440" s="46" t="s">
        <v>152</v>
      </c>
      <c r="G440" s="46" t="s">
        <v>153</v>
      </c>
      <c r="H440" s="46" t="s">
        <v>154</v>
      </c>
      <c r="I440" s="46" t="s">
        <v>155</v>
      </c>
      <c r="J440" s="46" t="s">
        <v>156</v>
      </c>
      <c r="K440" s="46" t="s">
        <v>157</v>
      </c>
      <c r="L440" s="46" t="s">
        <v>158</v>
      </c>
      <c r="M440" s="46" t="s">
        <v>159</v>
      </c>
      <c r="N440" s="46" t="s">
        <v>160</v>
      </c>
      <c r="O440" s="161" t="s">
        <v>20</v>
      </c>
      <c r="P440" s="182"/>
      <c r="Q440" s="31"/>
      <c r="R440" s="39"/>
    </row>
    <row r="441" spans="1:18" x14ac:dyDescent="0.25">
      <c r="A441" s="38"/>
      <c r="B441" s="33" t="s">
        <v>308</v>
      </c>
      <c r="C441" s="54">
        <f>Salaires!C93</f>
        <v>0</v>
      </c>
      <c r="D441" s="54">
        <f>Salaires!D93</f>
        <v>0</v>
      </c>
      <c r="E441" s="54">
        <f>Salaires!E93</f>
        <v>0</v>
      </c>
      <c r="F441" s="54">
        <f>Salaires!F93</f>
        <v>0</v>
      </c>
      <c r="G441" s="54">
        <f>Salaires!G93</f>
        <v>0</v>
      </c>
      <c r="H441" s="54">
        <f>Salaires!H93</f>
        <v>0</v>
      </c>
      <c r="I441" s="54">
        <f>Salaires!I93</f>
        <v>0</v>
      </c>
      <c r="J441" s="54">
        <f>Salaires!J93</f>
        <v>0</v>
      </c>
      <c r="K441" s="54">
        <f>Salaires!K93</f>
        <v>0</v>
      </c>
      <c r="L441" s="54">
        <f>Salaires!L93</f>
        <v>0</v>
      </c>
      <c r="M441" s="54">
        <f>Salaires!M93</f>
        <v>0</v>
      </c>
      <c r="N441" s="54">
        <f>Salaires!N93</f>
        <v>0</v>
      </c>
      <c r="O441" s="54">
        <f>SUM(C441:N441)</f>
        <v>0</v>
      </c>
      <c r="P441" s="78"/>
      <c r="Q441" s="31"/>
      <c r="R441" s="39"/>
    </row>
    <row r="442" spans="1:18" x14ac:dyDescent="0.25">
      <c r="A442" s="38"/>
      <c r="B442" s="33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78"/>
      <c r="Q442" s="31"/>
      <c r="R442" s="39"/>
    </row>
    <row r="443" spans="1:18" x14ac:dyDescent="0.25">
      <c r="A443" s="38"/>
      <c r="B443" s="92" t="s">
        <v>326</v>
      </c>
      <c r="C443" s="171">
        <f>Salaires!N75</f>
        <v>0</v>
      </c>
      <c r="D443" s="171">
        <f>Salaires!C92</f>
        <v>0</v>
      </c>
      <c r="E443" s="171">
        <f>Salaires!D92</f>
        <v>0</v>
      </c>
      <c r="F443" s="171">
        <f>Salaires!E92</f>
        <v>0</v>
      </c>
      <c r="G443" s="171">
        <f>Salaires!F92</f>
        <v>0</v>
      </c>
      <c r="H443" s="171">
        <f>Salaires!G92</f>
        <v>0</v>
      </c>
      <c r="I443" s="171">
        <f>Salaires!H92</f>
        <v>0</v>
      </c>
      <c r="J443" s="171">
        <f>Salaires!I92</f>
        <v>0</v>
      </c>
      <c r="K443" s="171">
        <f>Salaires!J92</f>
        <v>0</v>
      </c>
      <c r="L443" s="171">
        <f>Salaires!K92</f>
        <v>0</v>
      </c>
      <c r="M443" s="171">
        <f>Salaires!L92</f>
        <v>0</v>
      </c>
      <c r="N443" s="171">
        <f>Salaires!M92</f>
        <v>0</v>
      </c>
      <c r="O443" s="171">
        <f>SUM(C443:N443)</f>
        <v>0</v>
      </c>
      <c r="P443" s="78"/>
      <c r="Q443" s="31"/>
      <c r="R443" s="39"/>
    </row>
    <row r="444" spans="1:18" x14ac:dyDescent="0.25">
      <c r="A444" s="38"/>
      <c r="B444" s="92" t="s">
        <v>327</v>
      </c>
      <c r="C444" s="171">
        <f>SUM(Salaires!L75:N75)</f>
        <v>0</v>
      </c>
      <c r="D444" s="171"/>
      <c r="E444" s="171"/>
      <c r="F444" s="171">
        <f>SUM(Salaires!C92:E92)</f>
        <v>0</v>
      </c>
      <c r="G444" s="171"/>
      <c r="H444" s="171"/>
      <c r="I444" s="171">
        <f>SUM(Salaires!F92:H92)</f>
        <v>0</v>
      </c>
      <c r="J444" s="171"/>
      <c r="K444" s="171"/>
      <c r="L444" s="171">
        <f>SUM(Salaires!I92:K92)</f>
        <v>0</v>
      </c>
      <c r="M444" s="171"/>
      <c r="N444" s="171"/>
      <c r="O444" s="171">
        <f>SUM(C444:N444)</f>
        <v>0</v>
      </c>
      <c r="P444" s="78"/>
      <c r="Q444" s="31"/>
      <c r="R444" s="39"/>
    </row>
    <row r="445" spans="1:18" x14ac:dyDescent="0.25">
      <c r="A445" s="38"/>
      <c r="B445" s="33" t="s">
        <v>328</v>
      </c>
      <c r="C445" s="186">
        <f>IF(Caractéristiques!$C$31="Mensuel",'Calcul prévi'!C443,IF(Caractéristiques!$C$31="Trimestriel",'Calcul prévi'!C444,0))</f>
        <v>0</v>
      </c>
      <c r="D445" s="186">
        <f>IF(Caractéristiques!$C$31="Mensuel",'Calcul prévi'!D443,IF(Caractéristiques!$C$31="Trimestriel",'Calcul prévi'!D444,0))</f>
        <v>0</v>
      </c>
      <c r="E445" s="186">
        <f>IF(Caractéristiques!$C$31="Mensuel",'Calcul prévi'!E443,IF(Caractéristiques!$C$31="Trimestriel",'Calcul prévi'!E444,0))</f>
        <v>0</v>
      </c>
      <c r="F445" s="186">
        <f>IF(Caractéristiques!$C$31="Mensuel",'Calcul prévi'!F443,IF(Caractéristiques!$C$31="Trimestriel",'Calcul prévi'!F444,0))</f>
        <v>0</v>
      </c>
      <c r="G445" s="186">
        <f>IF(Caractéristiques!$C$31="Mensuel",'Calcul prévi'!G443,IF(Caractéristiques!$C$31="Trimestriel",'Calcul prévi'!G444,0))</f>
        <v>0</v>
      </c>
      <c r="H445" s="186">
        <f>IF(Caractéristiques!$C$31="Mensuel",'Calcul prévi'!H443,IF(Caractéristiques!$C$31="Trimestriel",'Calcul prévi'!H444,0))</f>
        <v>0</v>
      </c>
      <c r="I445" s="186">
        <f>IF(Caractéristiques!$C$31="Mensuel",'Calcul prévi'!I443,IF(Caractéristiques!$C$31="Trimestriel",'Calcul prévi'!I444,0))</f>
        <v>0</v>
      </c>
      <c r="J445" s="186">
        <f>IF(Caractéristiques!$C$31="Mensuel",'Calcul prévi'!J443,IF(Caractéristiques!$C$31="Trimestriel",'Calcul prévi'!J444,0))</f>
        <v>0</v>
      </c>
      <c r="K445" s="186">
        <f>IF(Caractéristiques!$C$31="Mensuel",'Calcul prévi'!K443,IF(Caractéristiques!$C$31="Trimestriel",'Calcul prévi'!K444,0))</f>
        <v>0</v>
      </c>
      <c r="L445" s="186">
        <f>IF(Caractéristiques!$C$31="Mensuel",'Calcul prévi'!L443,IF(Caractéristiques!$C$31="Trimestriel",'Calcul prévi'!L444,0))</f>
        <v>0</v>
      </c>
      <c r="M445" s="186">
        <f>IF(Caractéristiques!$C$31="Mensuel",'Calcul prévi'!M443,IF(Caractéristiques!$C$31="Trimestriel",'Calcul prévi'!M444,0))</f>
        <v>0</v>
      </c>
      <c r="N445" s="186">
        <f>IF(Caractéristiques!$C$31="Mensuel",'Calcul prévi'!N443,IF(Caractéristiques!$C$31="Trimestriel",'Calcul prévi'!N444,0))</f>
        <v>0</v>
      </c>
      <c r="O445" s="186">
        <f>SUM(C445:N445)</f>
        <v>0</v>
      </c>
      <c r="P445" s="78"/>
      <c r="Q445" s="31"/>
      <c r="R445" s="39"/>
    </row>
    <row r="446" spans="1:18" x14ac:dyDescent="0.25">
      <c r="A446" s="38"/>
      <c r="B446" s="33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78"/>
      <c r="Q446" s="31"/>
      <c r="R446" s="39"/>
    </row>
    <row r="447" spans="1:18" x14ac:dyDescent="0.25">
      <c r="A447" s="38"/>
      <c r="B447" s="33" t="s">
        <v>329</v>
      </c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78">
        <f>IF(Caractéristiques!$C$31="Mensuel",Salaires!N92,IF(Caractéristiques!$C$31="Trimestriel",SUM(Salaires!L92:N92),0))</f>
        <v>0</v>
      </c>
      <c r="Q447" s="31"/>
      <c r="R447" s="39"/>
    </row>
    <row r="448" spans="1:18" x14ac:dyDescent="0.25">
      <c r="A448" s="38"/>
      <c r="B448" s="33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78"/>
      <c r="Q448" s="31"/>
      <c r="R448" s="39"/>
    </row>
    <row r="449" spans="1:2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9"/>
    </row>
    <row r="450" spans="1:2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U450" s="39"/>
    </row>
    <row r="451" spans="1:21" ht="18.75" x14ac:dyDescent="0.3">
      <c r="A451" s="31"/>
      <c r="B451" s="81" t="s">
        <v>365</v>
      </c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U451" s="39"/>
    </row>
    <row r="452" spans="1:21" ht="21.75" customHeight="1" x14ac:dyDescent="0.25">
      <c r="A452" s="31"/>
      <c r="B452" s="29"/>
      <c r="C452" s="408" t="s">
        <v>353</v>
      </c>
      <c r="D452" s="414" t="s">
        <v>366</v>
      </c>
      <c r="E452" s="415"/>
      <c r="F452" s="416" t="s">
        <v>367</v>
      </c>
      <c r="G452" s="416" t="s">
        <v>369</v>
      </c>
      <c r="H452" s="408" t="s">
        <v>146</v>
      </c>
      <c r="I452" s="408"/>
      <c r="J452" s="408"/>
      <c r="K452" s="408" t="s">
        <v>147</v>
      </c>
      <c r="L452" s="408"/>
      <c r="M452" s="408"/>
      <c r="N452" s="408"/>
      <c r="O452" s="408"/>
      <c r="P452" s="408" t="s">
        <v>148</v>
      </c>
      <c r="Q452" s="408"/>
      <c r="R452" s="408"/>
      <c r="S452" s="408"/>
      <c r="T452" s="408"/>
      <c r="U452" s="39"/>
    </row>
    <row r="453" spans="1:21" ht="21" customHeight="1" x14ac:dyDescent="0.25">
      <c r="A453" s="31"/>
      <c r="B453" s="29"/>
      <c r="C453" s="408"/>
      <c r="D453" s="217" t="s">
        <v>354</v>
      </c>
      <c r="E453" s="152" t="s">
        <v>354</v>
      </c>
      <c r="F453" s="416"/>
      <c r="G453" s="416"/>
      <c r="H453" s="217" t="s">
        <v>370</v>
      </c>
      <c r="I453" s="217" t="s">
        <v>77</v>
      </c>
      <c r="J453" s="218" t="s">
        <v>79</v>
      </c>
      <c r="K453" s="218" t="s">
        <v>371</v>
      </c>
      <c r="L453" s="217" t="s">
        <v>370</v>
      </c>
      <c r="M453" s="217" t="s">
        <v>77</v>
      </c>
      <c r="N453" s="218" t="s">
        <v>78</v>
      </c>
      <c r="O453" s="217" t="s">
        <v>79</v>
      </c>
      <c r="P453" s="218" t="s">
        <v>371</v>
      </c>
      <c r="Q453" s="217" t="s">
        <v>370</v>
      </c>
      <c r="R453" s="217" t="s">
        <v>77</v>
      </c>
      <c r="S453" s="218" t="s">
        <v>78</v>
      </c>
      <c r="T453" s="217" t="s">
        <v>79</v>
      </c>
      <c r="U453" s="39"/>
    </row>
    <row r="454" spans="1:21" x14ac:dyDescent="0.25">
      <c r="A454" s="31"/>
      <c r="B454" s="210" t="s">
        <v>364</v>
      </c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2"/>
      <c r="U454" s="39"/>
    </row>
    <row r="455" spans="1:21" x14ac:dyDescent="0.25">
      <c r="A455" s="31"/>
      <c r="B455" s="213" t="str">
        <f>Investissements!B21</f>
        <v>(Mettre l'intitulé de chaque investissement)</v>
      </c>
      <c r="C455" s="214">
        <f>+Investissements!C21</f>
        <v>0</v>
      </c>
      <c r="D455" s="230">
        <f>Investissements!D21</f>
        <v>0</v>
      </c>
      <c r="E455" s="206">
        <f>Investissements!E21</f>
        <v>0</v>
      </c>
      <c r="F455" s="224">
        <f>Investissements!F21</f>
        <v>0</v>
      </c>
      <c r="G455" s="229">
        <f>IF(C455&gt;0,C455/F455,0)</f>
        <v>0</v>
      </c>
      <c r="H455" s="1">
        <f>IF($D455="Année 1",IF($E455="Mois 1",12,IF($E455="Mois 2",11,IF($E455="Mois 3",10,IF($E455="Mois 4",9,IF($E455="Mois 5",8,IF($E455="Mois 6",7,IF($E455="Mois 7",6,IF($E455="Mois 8",5,IF($E455="Mois 9",4,IF($E455="Mois 10",3,IF($E455="Mois 11",2,IF($E455="Mois 12",1,0)))))))))))),0)</f>
        <v>0</v>
      </c>
      <c r="I455" s="207">
        <f>IF(H455&gt;0,H455*G455,0)</f>
        <v>0</v>
      </c>
      <c r="J455" s="207">
        <f>IF(D455="Année 1",C455-I455,0)</f>
        <v>0</v>
      </c>
      <c r="K455" s="1">
        <f>IF($D455="Année 1",F455-H455,IF($D455="Année 2",F455,0))</f>
        <v>0</v>
      </c>
      <c r="L455" s="1">
        <f>IF($D455="Année 1",IF(K455&gt;12,12,K455),IF($D455="Année 2",IF($E455="Mois 1",12,IF($E455="Mois 2",11,IF($E455="Mois 3",10,IF($E455="Mois 4",9,IF($E455="Mois 5",8,IF($E455="Mois 6",7,IF($E455="Mois 7",6,IF($E455="Mois 8",5,IF($E455="Mois 9",4,IF($E455="Mois 10",3,IF($E455="Mois 11",2,IF($E455="Mois 12",1,0)))))))))))),0))</f>
        <v>0</v>
      </c>
      <c r="M455" s="207">
        <f>IF(L455&gt;0,G455*L455,0)</f>
        <v>0</v>
      </c>
      <c r="N455" s="207">
        <f>M455+I455</f>
        <v>0</v>
      </c>
      <c r="O455" s="207">
        <f>IF(N455&gt;0,C455-N455,0)</f>
        <v>0</v>
      </c>
      <c r="P455" s="1">
        <f>IF($D455="Année 1",K455-L455,IF($D455="Année 2",K455-L455,IF($D455="Année 3",$F455,0)))</f>
        <v>0</v>
      </c>
      <c r="Q455" s="117">
        <f>IF($D455="Année 1",IF(P455&gt;12,12,P455),IF($D455="Année 2",IF(P455&gt;12,12,P455),IF($D455="Année 3",IF($E455="Mois 1",12,IF($E455="Mois 2",11,IF($E455="Mois 3",10,IF($E455="Mois 4",9,IF($E455="Mois 5",8,IF($E455="Mois 6",7,IF($E455="Mois 7",6,IF($E455="Mois 8",5,IF($E455="Mois 9",4,IF($E455="Mois 10",3,IF($E455="Mois 11",2,IF($E455="Mois 12",1,0)))))))))))),0)))</f>
        <v>0</v>
      </c>
      <c r="R455" s="207">
        <f>Q455*G455</f>
        <v>0</v>
      </c>
      <c r="S455" s="207">
        <f>N455+R455</f>
        <v>0</v>
      </c>
      <c r="T455" s="207">
        <f>IF(S455&gt;0,C455-S455,0)</f>
        <v>0</v>
      </c>
      <c r="U455" s="39"/>
    </row>
    <row r="456" spans="1:21" x14ac:dyDescent="0.25">
      <c r="A456" s="31"/>
      <c r="B456" s="204">
        <f>Investissements!B22</f>
        <v>0</v>
      </c>
      <c r="C456" s="120">
        <f>+Investissements!C22</f>
        <v>0</v>
      </c>
      <c r="D456" s="219">
        <f>Investissements!D22</f>
        <v>0</v>
      </c>
      <c r="E456" s="219">
        <f>Investissements!E22</f>
        <v>0</v>
      </c>
      <c r="F456" s="224">
        <f>Investissements!F22</f>
        <v>0</v>
      </c>
      <c r="G456" s="229">
        <f t="shared" ref="G456:G464" si="70">IF(C456&gt;0,C456/F456,0)</f>
        <v>0</v>
      </c>
      <c r="H456" s="1">
        <f t="shared" ref="H456:H464" si="71">IF($D456="Année 1",IF($E456="Mois 1",12,IF($E456="Mois 2",11,IF($E456="Mois 3",10,IF($E456="Mois 4",9,IF($E456="Mois 5",8,IF($E456="Mois 6",7,IF($E456="Mois 7",6,IF($E456="Mois 8",5,IF($E456="Mois 9",4,IF($E456="Mois 10",3,IF($E456="Mois 11",2,IF($E456="Mois 12",1,0)))))))))))),0)</f>
        <v>0</v>
      </c>
      <c r="I456" s="207">
        <f t="shared" ref="I456:I464" si="72">H456*G456</f>
        <v>0</v>
      </c>
      <c r="J456" s="207">
        <f t="shared" ref="J456:J464" si="73">IF(D456="Année 1",C456-I456,0)</f>
        <v>0</v>
      </c>
      <c r="K456" s="1">
        <f t="shared" ref="K456:K464" si="74">IF($D456="Année 1",F456-H456,IF($D456="Année 2",F456,0))</f>
        <v>0</v>
      </c>
      <c r="L456" s="1">
        <f t="shared" ref="L456:L464" si="75">IF($D456="Année 1",IF(K456&gt;12,12,K456),IF($D456="Année 2",IF($E456="Mois 1",12,IF($E456="Mois 2",11,IF($E456="Mois 3",10,IF($E456="Mois 4",9,IF($E456="Mois 5",8,IF($E456="Mois 6",7,IF($E456="Mois 7",6,IF($E456="Mois 8",5,IF($E456="Mois 9",4,IF($E456="Mois 10",3,IF($E456="Mois 11",2,IF($E456="Mois 12",1,0)))))))))))),0))</f>
        <v>0</v>
      </c>
      <c r="M456" s="207">
        <f t="shared" ref="M456:M464" si="76">IF(L456&gt;0,G456*L456,0)</f>
        <v>0</v>
      </c>
      <c r="N456" s="207">
        <f t="shared" ref="N456:N464" si="77">M456+I456</f>
        <v>0</v>
      </c>
      <c r="O456" s="207">
        <f t="shared" ref="O456:O464" si="78">IF(N456&gt;0,C456-N456,0)</f>
        <v>0</v>
      </c>
      <c r="P456" s="1">
        <f t="shared" ref="P456:P464" si="79">IF($D456="Année 1",K456-L456,IF($D456="Année 2",K456-L456,IF($D456="Année 3",$F456,0)))</f>
        <v>0</v>
      </c>
      <c r="Q456" s="117">
        <f t="shared" ref="Q456:Q464" si="80">IF($D456="Année 1",IF(P456&gt;12,12,P456),IF($D456="Année 2",IF(P456&gt;12,12,P456),IF($D456="Année 3",IF($E456="Mois 1",12,IF($E456="Mois 2",11,IF($E456="Mois 3",10,IF($E456="Mois 4",9,IF($E456="Mois 5",8,IF($E456="Mois 6",7,IF($E456="Mois 7",6,IF($E456="Mois 8",5,IF($E456="Mois 9",4,IF($E456="Mois 10",3,IF($E456="Mois 11",2,IF($E456="Mois 12",1,0)))))))))))),0)))</f>
        <v>0</v>
      </c>
      <c r="R456" s="207">
        <f t="shared" ref="R456:R464" si="81">Q456*G456</f>
        <v>0</v>
      </c>
      <c r="S456" s="207">
        <f t="shared" ref="S456:S464" si="82">N456+R456</f>
        <v>0</v>
      </c>
      <c r="T456" s="207">
        <f t="shared" ref="T456:T464" si="83">IF(S456&gt;0,C456-S456,0)</f>
        <v>0</v>
      </c>
      <c r="U456" s="39"/>
    </row>
    <row r="457" spans="1:21" x14ac:dyDescent="0.25">
      <c r="A457" s="31"/>
      <c r="B457" s="204">
        <f>Investissements!B23</f>
        <v>0</v>
      </c>
      <c r="C457" s="120">
        <f>+Investissements!C23</f>
        <v>0</v>
      </c>
      <c r="D457" s="219">
        <f>Investissements!D23</f>
        <v>0</v>
      </c>
      <c r="E457" s="219">
        <f>Investissements!E23</f>
        <v>0</v>
      </c>
      <c r="F457" s="224">
        <f>Investissements!F23</f>
        <v>0</v>
      </c>
      <c r="G457" s="229">
        <f t="shared" si="70"/>
        <v>0</v>
      </c>
      <c r="H457" s="1">
        <f t="shared" si="71"/>
        <v>0</v>
      </c>
      <c r="I457" s="207">
        <f t="shared" si="72"/>
        <v>0</v>
      </c>
      <c r="J457" s="207">
        <f t="shared" si="73"/>
        <v>0</v>
      </c>
      <c r="K457" s="1">
        <f t="shared" si="74"/>
        <v>0</v>
      </c>
      <c r="L457" s="1">
        <f t="shared" si="75"/>
        <v>0</v>
      </c>
      <c r="M457" s="207">
        <f t="shared" si="76"/>
        <v>0</v>
      </c>
      <c r="N457" s="207">
        <f t="shared" si="77"/>
        <v>0</v>
      </c>
      <c r="O457" s="207">
        <f t="shared" si="78"/>
        <v>0</v>
      </c>
      <c r="P457" s="1">
        <f t="shared" si="79"/>
        <v>0</v>
      </c>
      <c r="Q457" s="117">
        <f t="shared" si="80"/>
        <v>0</v>
      </c>
      <c r="R457" s="207">
        <f t="shared" si="81"/>
        <v>0</v>
      </c>
      <c r="S457" s="207">
        <f t="shared" si="82"/>
        <v>0</v>
      </c>
      <c r="T457" s="207">
        <f t="shared" si="83"/>
        <v>0</v>
      </c>
      <c r="U457" s="39"/>
    </row>
    <row r="458" spans="1:21" x14ac:dyDescent="0.25">
      <c r="A458" s="31"/>
      <c r="B458" s="204">
        <f>Investissements!B24</f>
        <v>0</v>
      </c>
      <c r="C458" s="120">
        <f>+Investissements!C24</f>
        <v>0</v>
      </c>
      <c r="D458" s="219">
        <f>Investissements!D24</f>
        <v>0</v>
      </c>
      <c r="E458" s="219">
        <f>Investissements!E24</f>
        <v>0</v>
      </c>
      <c r="F458" s="224">
        <f>Investissements!F24</f>
        <v>0</v>
      </c>
      <c r="G458" s="229">
        <f t="shared" si="70"/>
        <v>0</v>
      </c>
      <c r="H458" s="1">
        <f t="shared" si="71"/>
        <v>0</v>
      </c>
      <c r="I458" s="207">
        <f t="shared" si="72"/>
        <v>0</v>
      </c>
      <c r="J458" s="207">
        <f t="shared" si="73"/>
        <v>0</v>
      </c>
      <c r="K458" s="1">
        <f t="shared" si="74"/>
        <v>0</v>
      </c>
      <c r="L458" s="1">
        <f t="shared" si="75"/>
        <v>0</v>
      </c>
      <c r="M458" s="207">
        <f t="shared" si="76"/>
        <v>0</v>
      </c>
      <c r="N458" s="207">
        <f t="shared" si="77"/>
        <v>0</v>
      </c>
      <c r="O458" s="207">
        <f t="shared" si="78"/>
        <v>0</v>
      </c>
      <c r="P458" s="1">
        <f t="shared" si="79"/>
        <v>0</v>
      </c>
      <c r="Q458" s="117">
        <f t="shared" si="80"/>
        <v>0</v>
      </c>
      <c r="R458" s="207">
        <f t="shared" si="81"/>
        <v>0</v>
      </c>
      <c r="S458" s="207">
        <f t="shared" si="82"/>
        <v>0</v>
      </c>
      <c r="T458" s="207">
        <f t="shared" si="83"/>
        <v>0</v>
      </c>
      <c r="U458" s="39"/>
    </row>
    <row r="459" spans="1:21" x14ac:dyDescent="0.25">
      <c r="A459" s="31"/>
      <c r="B459" s="204">
        <f>Investissements!B25</f>
        <v>0</v>
      </c>
      <c r="C459" s="120">
        <f>+Investissements!C25</f>
        <v>0</v>
      </c>
      <c r="D459" s="219">
        <f>Investissements!D25</f>
        <v>0</v>
      </c>
      <c r="E459" s="219">
        <f>Investissements!E25</f>
        <v>0</v>
      </c>
      <c r="F459" s="224">
        <f>Investissements!F25</f>
        <v>0</v>
      </c>
      <c r="G459" s="229">
        <f t="shared" si="70"/>
        <v>0</v>
      </c>
      <c r="H459" s="1">
        <f t="shared" si="71"/>
        <v>0</v>
      </c>
      <c r="I459" s="207">
        <f t="shared" si="72"/>
        <v>0</v>
      </c>
      <c r="J459" s="207">
        <f t="shared" si="73"/>
        <v>0</v>
      </c>
      <c r="K459" s="1">
        <f t="shared" si="74"/>
        <v>0</v>
      </c>
      <c r="L459" s="1">
        <f t="shared" si="75"/>
        <v>0</v>
      </c>
      <c r="M459" s="207">
        <f t="shared" si="76"/>
        <v>0</v>
      </c>
      <c r="N459" s="207">
        <f t="shared" si="77"/>
        <v>0</v>
      </c>
      <c r="O459" s="207">
        <f t="shared" si="78"/>
        <v>0</v>
      </c>
      <c r="P459" s="1">
        <f t="shared" si="79"/>
        <v>0</v>
      </c>
      <c r="Q459" s="117">
        <f t="shared" si="80"/>
        <v>0</v>
      </c>
      <c r="R459" s="207">
        <f t="shared" si="81"/>
        <v>0</v>
      </c>
      <c r="S459" s="207">
        <f t="shared" si="82"/>
        <v>0</v>
      </c>
      <c r="T459" s="207">
        <f t="shared" si="83"/>
        <v>0</v>
      </c>
      <c r="U459" s="39"/>
    </row>
    <row r="460" spans="1:21" x14ac:dyDescent="0.25">
      <c r="A460" s="31"/>
      <c r="B460" s="204">
        <f>Investissements!B26</f>
        <v>0</v>
      </c>
      <c r="C460" s="120">
        <f>+Investissements!C26</f>
        <v>0</v>
      </c>
      <c r="D460" s="219">
        <f>Investissements!D26</f>
        <v>0</v>
      </c>
      <c r="E460" s="219">
        <f>Investissements!E26</f>
        <v>0</v>
      </c>
      <c r="F460" s="224">
        <f>Investissements!F26</f>
        <v>0</v>
      </c>
      <c r="G460" s="229">
        <f t="shared" si="70"/>
        <v>0</v>
      </c>
      <c r="H460" s="1">
        <f t="shared" si="71"/>
        <v>0</v>
      </c>
      <c r="I460" s="207">
        <f t="shared" si="72"/>
        <v>0</v>
      </c>
      <c r="J460" s="207">
        <f t="shared" si="73"/>
        <v>0</v>
      </c>
      <c r="K460" s="1">
        <f t="shared" si="74"/>
        <v>0</v>
      </c>
      <c r="L460" s="1">
        <f t="shared" si="75"/>
        <v>0</v>
      </c>
      <c r="M460" s="207">
        <f t="shared" si="76"/>
        <v>0</v>
      </c>
      <c r="N460" s="207">
        <f t="shared" si="77"/>
        <v>0</v>
      </c>
      <c r="O460" s="207">
        <f t="shared" si="78"/>
        <v>0</v>
      </c>
      <c r="P460" s="1">
        <f t="shared" si="79"/>
        <v>0</v>
      </c>
      <c r="Q460" s="117">
        <f t="shared" si="80"/>
        <v>0</v>
      </c>
      <c r="R460" s="207">
        <f t="shared" si="81"/>
        <v>0</v>
      </c>
      <c r="S460" s="207">
        <f t="shared" si="82"/>
        <v>0</v>
      </c>
      <c r="T460" s="207">
        <f t="shared" si="83"/>
        <v>0</v>
      </c>
      <c r="U460" s="39"/>
    </row>
    <row r="461" spans="1:21" x14ac:dyDescent="0.25">
      <c r="A461" s="31"/>
      <c r="B461" s="204">
        <f>Investissements!B27</f>
        <v>0</v>
      </c>
      <c r="C461" s="120">
        <f>+Investissements!C27</f>
        <v>0</v>
      </c>
      <c r="D461" s="219">
        <f>Investissements!D27</f>
        <v>0</v>
      </c>
      <c r="E461" s="219">
        <f>Investissements!E27</f>
        <v>0</v>
      </c>
      <c r="F461" s="224">
        <f>Investissements!F27</f>
        <v>0</v>
      </c>
      <c r="G461" s="229">
        <f t="shared" si="70"/>
        <v>0</v>
      </c>
      <c r="H461" s="1">
        <f t="shared" si="71"/>
        <v>0</v>
      </c>
      <c r="I461" s="207">
        <f t="shared" si="72"/>
        <v>0</v>
      </c>
      <c r="J461" s="207">
        <f t="shared" si="73"/>
        <v>0</v>
      </c>
      <c r="K461" s="1">
        <f t="shared" si="74"/>
        <v>0</v>
      </c>
      <c r="L461" s="1">
        <f t="shared" si="75"/>
        <v>0</v>
      </c>
      <c r="M461" s="207">
        <f t="shared" si="76"/>
        <v>0</v>
      </c>
      <c r="N461" s="207">
        <f t="shared" si="77"/>
        <v>0</v>
      </c>
      <c r="O461" s="207">
        <f t="shared" si="78"/>
        <v>0</v>
      </c>
      <c r="P461" s="1">
        <f t="shared" si="79"/>
        <v>0</v>
      </c>
      <c r="Q461" s="117">
        <f t="shared" si="80"/>
        <v>0</v>
      </c>
      <c r="R461" s="207">
        <f t="shared" si="81"/>
        <v>0</v>
      </c>
      <c r="S461" s="207">
        <f t="shared" si="82"/>
        <v>0</v>
      </c>
      <c r="T461" s="207">
        <f t="shared" si="83"/>
        <v>0</v>
      </c>
      <c r="U461" s="39"/>
    </row>
    <row r="462" spans="1:21" x14ac:dyDescent="0.25">
      <c r="A462" s="31"/>
      <c r="B462" s="204">
        <f>Investissements!B28</f>
        <v>0</v>
      </c>
      <c r="C462" s="120">
        <f>+Investissements!C28</f>
        <v>0</v>
      </c>
      <c r="D462" s="219">
        <f>Investissements!D28</f>
        <v>0</v>
      </c>
      <c r="E462" s="219">
        <f>Investissements!E28</f>
        <v>0</v>
      </c>
      <c r="F462" s="224">
        <f>Investissements!F28</f>
        <v>0</v>
      </c>
      <c r="G462" s="229">
        <f t="shared" si="70"/>
        <v>0</v>
      </c>
      <c r="H462" s="1">
        <f t="shared" si="71"/>
        <v>0</v>
      </c>
      <c r="I462" s="207">
        <f t="shared" si="72"/>
        <v>0</v>
      </c>
      <c r="J462" s="207">
        <f t="shared" si="73"/>
        <v>0</v>
      </c>
      <c r="K462" s="1">
        <f t="shared" si="74"/>
        <v>0</v>
      </c>
      <c r="L462" s="1">
        <f t="shared" si="75"/>
        <v>0</v>
      </c>
      <c r="M462" s="207">
        <f t="shared" si="76"/>
        <v>0</v>
      </c>
      <c r="N462" s="207">
        <f t="shared" si="77"/>
        <v>0</v>
      </c>
      <c r="O462" s="207">
        <f t="shared" si="78"/>
        <v>0</v>
      </c>
      <c r="P462" s="1">
        <f t="shared" si="79"/>
        <v>0</v>
      </c>
      <c r="Q462" s="117">
        <f t="shared" si="80"/>
        <v>0</v>
      </c>
      <c r="R462" s="207">
        <f t="shared" si="81"/>
        <v>0</v>
      </c>
      <c r="S462" s="207">
        <f t="shared" si="82"/>
        <v>0</v>
      </c>
      <c r="T462" s="207">
        <f t="shared" si="83"/>
        <v>0</v>
      </c>
      <c r="U462" s="39"/>
    </row>
    <row r="463" spans="1:21" x14ac:dyDescent="0.25">
      <c r="A463" s="31"/>
      <c r="B463" s="204">
        <f>Investissements!B29</f>
        <v>0</v>
      </c>
      <c r="C463" s="120">
        <f>+Investissements!C29</f>
        <v>0</v>
      </c>
      <c r="D463" s="219">
        <f>Investissements!D29</f>
        <v>0</v>
      </c>
      <c r="E463" s="219">
        <f>Investissements!E29</f>
        <v>0</v>
      </c>
      <c r="F463" s="224">
        <f>Investissements!F29</f>
        <v>0</v>
      </c>
      <c r="G463" s="229">
        <f t="shared" si="70"/>
        <v>0</v>
      </c>
      <c r="H463" s="1">
        <f t="shared" si="71"/>
        <v>0</v>
      </c>
      <c r="I463" s="207">
        <f t="shared" si="72"/>
        <v>0</v>
      </c>
      <c r="J463" s="207">
        <f t="shared" si="73"/>
        <v>0</v>
      </c>
      <c r="K463" s="1">
        <f t="shared" si="74"/>
        <v>0</v>
      </c>
      <c r="L463" s="1">
        <f t="shared" si="75"/>
        <v>0</v>
      </c>
      <c r="M463" s="207">
        <f t="shared" si="76"/>
        <v>0</v>
      </c>
      <c r="N463" s="207">
        <f t="shared" si="77"/>
        <v>0</v>
      </c>
      <c r="O463" s="207">
        <f t="shared" si="78"/>
        <v>0</v>
      </c>
      <c r="P463" s="1">
        <f t="shared" si="79"/>
        <v>0</v>
      </c>
      <c r="Q463" s="117">
        <f t="shared" si="80"/>
        <v>0</v>
      </c>
      <c r="R463" s="207">
        <f t="shared" si="81"/>
        <v>0</v>
      </c>
      <c r="S463" s="207">
        <f t="shared" si="82"/>
        <v>0</v>
      </c>
      <c r="T463" s="207">
        <f t="shared" si="83"/>
        <v>0</v>
      </c>
      <c r="U463" s="39"/>
    </row>
    <row r="464" spans="1:21" x14ac:dyDescent="0.25">
      <c r="A464" s="31"/>
      <c r="B464" s="204">
        <f>Investissements!B30</f>
        <v>0</v>
      </c>
      <c r="C464" s="120">
        <f>+Investissements!C30</f>
        <v>0</v>
      </c>
      <c r="D464" s="219">
        <f>Investissements!D30</f>
        <v>0</v>
      </c>
      <c r="E464" s="219">
        <f>Investissements!E30</f>
        <v>0</v>
      </c>
      <c r="F464" s="224">
        <f>Investissements!F30</f>
        <v>0</v>
      </c>
      <c r="G464" s="229">
        <f t="shared" si="70"/>
        <v>0</v>
      </c>
      <c r="H464" s="1">
        <f t="shared" si="71"/>
        <v>0</v>
      </c>
      <c r="I464" s="207">
        <f t="shared" si="72"/>
        <v>0</v>
      </c>
      <c r="J464" s="207">
        <f t="shared" si="73"/>
        <v>0</v>
      </c>
      <c r="K464" s="1">
        <f t="shared" si="74"/>
        <v>0</v>
      </c>
      <c r="L464" s="1">
        <f t="shared" si="75"/>
        <v>0</v>
      </c>
      <c r="M464" s="207">
        <f t="shared" si="76"/>
        <v>0</v>
      </c>
      <c r="N464" s="207">
        <f t="shared" si="77"/>
        <v>0</v>
      </c>
      <c r="O464" s="207">
        <f t="shared" si="78"/>
        <v>0</v>
      </c>
      <c r="P464" s="1">
        <f t="shared" si="79"/>
        <v>0</v>
      </c>
      <c r="Q464" s="117">
        <f t="shared" si="80"/>
        <v>0</v>
      </c>
      <c r="R464" s="207">
        <f t="shared" si="81"/>
        <v>0</v>
      </c>
      <c r="S464" s="207">
        <f t="shared" si="82"/>
        <v>0</v>
      </c>
      <c r="T464" s="207">
        <f t="shared" si="83"/>
        <v>0</v>
      </c>
      <c r="U464" s="39"/>
    </row>
    <row r="465" spans="1:21" x14ac:dyDescent="0.25">
      <c r="A465" s="31"/>
      <c r="B465" s="231" t="s">
        <v>20</v>
      </c>
      <c r="C465" s="234">
        <f>SUM(C455:C464)</f>
        <v>0</v>
      </c>
      <c r="D465" s="233"/>
      <c r="E465" s="233"/>
      <c r="F465" s="233"/>
      <c r="G465" s="235"/>
      <c r="H465" s="235"/>
      <c r="I465" s="234">
        <f>SUM(I455:I464)</f>
        <v>0</v>
      </c>
      <c r="J465" s="234">
        <f>SUM(J455:J464)</f>
        <v>0</v>
      </c>
      <c r="K465" s="235"/>
      <c r="L465" s="235"/>
      <c r="M465" s="234">
        <f t="shared" ref="M465:O465" si="84">SUM(M455:M464)</f>
        <v>0</v>
      </c>
      <c r="N465" s="234">
        <f t="shared" si="84"/>
        <v>0</v>
      </c>
      <c r="O465" s="234">
        <f t="shared" si="84"/>
        <v>0</v>
      </c>
      <c r="P465" s="235"/>
      <c r="Q465" s="235"/>
      <c r="R465" s="234">
        <f>SUM(R455:R464)</f>
        <v>0</v>
      </c>
      <c r="S465" s="234">
        <f>SUM(S455:S464)</f>
        <v>0</v>
      </c>
      <c r="T465" s="234">
        <f>SUM(T455:T464)</f>
        <v>0</v>
      </c>
      <c r="U465" s="39"/>
    </row>
    <row r="466" spans="1:21" x14ac:dyDescent="0.25">
      <c r="A466" s="31"/>
      <c r="B466" s="210" t="s">
        <v>357</v>
      </c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2"/>
      <c r="U466" s="39"/>
    </row>
    <row r="467" spans="1:21" x14ac:dyDescent="0.25">
      <c r="A467" s="31"/>
      <c r="B467" s="209" t="str">
        <f>Investissements!B33</f>
        <v>(Mettre l'intitulé de chaque investissement)</v>
      </c>
      <c r="C467" s="221">
        <f>Investissements!C33</f>
        <v>0</v>
      </c>
      <c r="D467" s="222">
        <f>Investissements!D33</f>
        <v>0</v>
      </c>
      <c r="E467" s="223">
        <f>Investissements!E33</f>
        <v>0</v>
      </c>
      <c r="F467" s="224">
        <f>Investissements!F33</f>
        <v>0</v>
      </c>
      <c r="G467" s="54">
        <f t="shared" ref="G467:G487" si="85">IF(C467&gt;0,C467/F467,0)</f>
        <v>0</v>
      </c>
      <c r="H467" s="1">
        <f>IF($D467="Année 1",IF($E467="Mois 1",12,IF($E467="Mois 2",11,IF($E467="Mois 3",10,IF($E467="Mois 4",9,IF($E467="Mois 5",8,IF($E467="Mois 6",7,IF($E467="Mois 7",6,IF($E467="Mois 8",5,IF($E467="Mois 9",4,IF($E467="Mois 10",3,IF($E467="Mois 11",2,IF($E467="Mois 12",1,0)))))))))))),0)</f>
        <v>0</v>
      </c>
      <c r="I467" s="207">
        <f t="shared" ref="I467:I487" si="86">H467*G467</f>
        <v>0</v>
      </c>
      <c r="J467" s="207">
        <f t="shared" ref="J467:J487" si="87">IF(D467="Année 1",C467-I467,0)</f>
        <v>0</v>
      </c>
      <c r="K467" s="1">
        <f t="shared" ref="K467" si="88">IF($D467="Année 1",F467-H467,IF($D467="Année 2",F467,0))</f>
        <v>0</v>
      </c>
      <c r="L467" s="1">
        <f t="shared" ref="L467:L487" si="89">IF($D467="Année 1",IF(K467&gt;12,12,K467),IF($D467="Année 2",IF($E467="Mois 1",12,IF($E467="Mois 2",11,IF($E467="Mois 3",10,IF($E467="Mois 4",9,IF($E467="Mois 5",8,IF($E467="Mois 6",7,IF($E467="Mois 7",6,IF($E467="Mois 8",5,IF($E467="Mois 9",4,IF($E467="Mois 10",3,IF($E467="Mois 11",2,IF($E467="Mois 12",1,0)))))))))))),0))</f>
        <v>0</v>
      </c>
      <c r="M467" s="207">
        <f t="shared" ref="M467" si="90">IF(L467&gt;0,G467*L467,0)</f>
        <v>0</v>
      </c>
      <c r="N467" s="207">
        <f t="shared" ref="N467" si="91">M467+I467</f>
        <v>0</v>
      </c>
      <c r="O467" s="207">
        <f t="shared" ref="O467" si="92">IF(N467&gt;0,C467-N467,0)</f>
        <v>0</v>
      </c>
      <c r="P467" s="1">
        <f t="shared" ref="P467" si="93">IF($D467="Année 1",K467-L467,IF($D467="Année 2",K467-L467,IF($D467="Année 3",$F467,0)))</f>
        <v>0</v>
      </c>
      <c r="Q467" s="117">
        <f t="shared" ref="Q467:Q487" si="94">IF($D467="Année 1",IF(P467&gt;12,12,P467),IF($D467="Année 2",IF(P467&gt;12,12,P467),IF($D467="Année 3",IF($E467="Mois 1",12,IF($E467="Mois 2",11,IF($E467="Mois 3",10,IF($E467="Mois 4",9,IF($E467="Mois 5",8,IF($E467="Mois 6",7,IF($E467="Mois 7",6,IF($E467="Mois 8",5,IF($E467="Mois 9",4,IF($E467="Mois 10",3,IF($E467="Mois 11",2,IF($E467="Mois 12",1,0)))))))))))),0)))</f>
        <v>0</v>
      </c>
      <c r="R467" s="207">
        <f t="shared" ref="R467" si="95">Q467*G467</f>
        <v>0</v>
      </c>
      <c r="S467" s="207">
        <f t="shared" ref="S467" si="96">N467+R467</f>
        <v>0</v>
      </c>
      <c r="T467" s="207">
        <f t="shared" ref="T467" si="97">IF(S467&gt;0,C467-S467,0)</f>
        <v>0</v>
      </c>
      <c r="U467" s="39"/>
    </row>
    <row r="468" spans="1:21" x14ac:dyDescent="0.25">
      <c r="A468" s="31"/>
      <c r="B468" s="205">
        <f>Investissements!B34</f>
        <v>0</v>
      </c>
      <c r="C468" s="221">
        <f>Investissements!C34</f>
        <v>0</v>
      </c>
      <c r="D468" s="222">
        <f>Investissements!D34</f>
        <v>0</v>
      </c>
      <c r="E468" s="223">
        <f>Investissements!E34</f>
        <v>0</v>
      </c>
      <c r="F468" s="224">
        <f>Investissements!F34</f>
        <v>0</v>
      </c>
      <c r="G468" s="54">
        <f t="shared" si="85"/>
        <v>0</v>
      </c>
      <c r="H468" s="1">
        <f t="shared" ref="H468:H487" si="98">IF($D468="Année 1",IF($E468="Mois 1",12,IF($E468="Mois 2",11,IF($E468="Mois 3",10,IF($E468="Mois 4",9,IF($E468="Mois 5",8,IF($E468="Mois 6",7,IF($E468="Mois 7",6,IF($E468="Mois 8",5,IF($E468="Mois 9",4,IF($E468="Mois 10",3,IF($E468="Mois 11",2,IF($E468="Mois 12",1,0)))))))))))),0)</f>
        <v>0</v>
      </c>
      <c r="I468" s="207">
        <f t="shared" si="86"/>
        <v>0</v>
      </c>
      <c r="J468" s="207">
        <f t="shared" si="87"/>
        <v>0</v>
      </c>
      <c r="K468" s="1">
        <f t="shared" ref="K468:K487" si="99">IF($D468="Année 1",F468-H468,IF($D468="Année 2",F468,0))</f>
        <v>0</v>
      </c>
      <c r="L468" s="1">
        <f t="shared" si="89"/>
        <v>0</v>
      </c>
      <c r="M468" s="207">
        <f t="shared" ref="M468:M487" si="100">IF(L468&gt;0,G468*L468,0)</f>
        <v>0</v>
      </c>
      <c r="N468" s="207">
        <f t="shared" ref="N468:N487" si="101">M468+I468</f>
        <v>0</v>
      </c>
      <c r="O468" s="207">
        <f t="shared" ref="O468:O487" si="102">IF(N468&gt;0,C468-N468,0)</f>
        <v>0</v>
      </c>
      <c r="P468" s="1">
        <f t="shared" ref="P468:P487" si="103">IF($D468="Année 1",K468-L468,IF($D468="Année 2",K468-L468,IF($D468="Année 3",$F468,0)))</f>
        <v>0</v>
      </c>
      <c r="Q468" s="117">
        <f t="shared" si="94"/>
        <v>0</v>
      </c>
      <c r="R468" s="207">
        <f t="shared" ref="R468:R487" si="104">Q468*G468</f>
        <v>0</v>
      </c>
      <c r="S468" s="207">
        <f t="shared" ref="S468:S487" si="105">N468+R468</f>
        <v>0</v>
      </c>
      <c r="T468" s="207">
        <f t="shared" ref="T468:T487" si="106">IF(S468&gt;0,C468-S468,0)</f>
        <v>0</v>
      </c>
      <c r="U468" s="39"/>
    </row>
    <row r="469" spans="1:21" x14ac:dyDescent="0.25">
      <c r="A469" s="31"/>
      <c r="B469" s="205">
        <f>Investissements!B35</f>
        <v>0</v>
      </c>
      <c r="C469" s="221">
        <f>Investissements!C35</f>
        <v>0</v>
      </c>
      <c r="D469" s="222">
        <f>Investissements!D35</f>
        <v>0</v>
      </c>
      <c r="E469" s="223">
        <f>Investissements!E35</f>
        <v>0</v>
      </c>
      <c r="F469" s="224">
        <f>Investissements!F35</f>
        <v>0</v>
      </c>
      <c r="G469" s="54">
        <f t="shared" si="85"/>
        <v>0</v>
      </c>
      <c r="H469" s="1">
        <f t="shared" si="98"/>
        <v>0</v>
      </c>
      <c r="I469" s="207">
        <f t="shared" si="86"/>
        <v>0</v>
      </c>
      <c r="J469" s="207">
        <f t="shared" si="87"/>
        <v>0</v>
      </c>
      <c r="K469" s="1">
        <f t="shared" si="99"/>
        <v>0</v>
      </c>
      <c r="L469" s="1">
        <f t="shared" si="89"/>
        <v>0</v>
      </c>
      <c r="M469" s="207">
        <f t="shared" si="100"/>
        <v>0</v>
      </c>
      <c r="N469" s="207">
        <f t="shared" si="101"/>
        <v>0</v>
      </c>
      <c r="O469" s="207">
        <f t="shared" si="102"/>
        <v>0</v>
      </c>
      <c r="P469" s="1">
        <f t="shared" si="103"/>
        <v>0</v>
      </c>
      <c r="Q469" s="117">
        <f t="shared" si="94"/>
        <v>0</v>
      </c>
      <c r="R469" s="207">
        <f t="shared" si="104"/>
        <v>0</v>
      </c>
      <c r="S469" s="207">
        <f t="shared" si="105"/>
        <v>0</v>
      </c>
      <c r="T469" s="207">
        <f t="shared" si="106"/>
        <v>0</v>
      </c>
      <c r="U469" s="39"/>
    </row>
    <row r="470" spans="1:21" x14ac:dyDescent="0.25">
      <c r="A470" s="31"/>
      <c r="B470" s="205">
        <f>Investissements!B36</f>
        <v>0</v>
      </c>
      <c r="C470" s="221">
        <f>Investissements!C36</f>
        <v>0</v>
      </c>
      <c r="D470" s="222">
        <f>Investissements!D36</f>
        <v>0</v>
      </c>
      <c r="E470" s="223">
        <f>Investissements!E36</f>
        <v>0</v>
      </c>
      <c r="F470" s="224">
        <f>Investissements!F36</f>
        <v>0</v>
      </c>
      <c r="G470" s="54">
        <f t="shared" si="85"/>
        <v>0</v>
      </c>
      <c r="H470" s="1">
        <f t="shared" si="98"/>
        <v>0</v>
      </c>
      <c r="I470" s="207">
        <f t="shared" si="86"/>
        <v>0</v>
      </c>
      <c r="J470" s="207">
        <f t="shared" si="87"/>
        <v>0</v>
      </c>
      <c r="K470" s="1">
        <f t="shared" si="99"/>
        <v>0</v>
      </c>
      <c r="L470" s="1">
        <f t="shared" si="89"/>
        <v>0</v>
      </c>
      <c r="M470" s="207">
        <f t="shared" si="100"/>
        <v>0</v>
      </c>
      <c r="N470" s="207">
        <f t="shared" si="101"/>
        <v>0</v>
      </c>
      <c r="O470" s="207">
        <f t="shared" si="102"/>
        <v>0</v>
      </c>
      <c r="P470" s="1">
        <f t="shared" si="103"/>
        <v>0</v>
      </c>
      <c r="Q470" s="117">
        <f t="shared" si="94"/>
        <v>0</v>
      </c>
      <c r="R470" s="207">
        <f t="shared" si="104"/>
        <v>0</v>
      </c>
      <c r="S470" s="207">
        <f t="shared" si="105"/>
        <v>0</v>
      </c>
      <c r="T470" s="207">
        <f t="shared" si="106"/>
        <v>0</v>
      </c>
      <c r="U470" s="39"/>
    </row>
    <row r="471" spans="1:21" x14ac:dyDescent="0.25">
      <c r="A471" s="31"/>
      <c r="B471" s="205">
        <f>Investissements!B37</f>
        <v>0</v>
      </c>
      <c r="C471" s="221">
        <f>Investissements!C37</f>
        <v>0</v>
      </c>
      <c r="D471" s="222">
        <f>Investissements!D37</f>
        <v>0</v>
      </c>
      <c r="E471" s="223">
        <f>Investissements!E37</f>
        <v>0</v>
      </c>
      <c r="F471" s="224">
        <f>Investissements!F37</f>
        <v>0</v>
      </c>
      <c r="G471" s="54">
        <f t="shared" si="85"/>
        <v>0</v>
      </c>
      <c r="H471" s="1">
        <f t="shared" si="98"/>
        <v>0</v>
      </c>
      <c r="I471" s="207">
        <f t="shared" si="86"/>
        <v>0</v>
      </c>
      <c r="J471" s="207">
        <f t="shared" si="87"/>
        <v>0</v>
      </c>
      <c r="K471" s="1">
        <f t="shared" si="99"/>
        <v>0</v>
      </c>
      <c r="L471" s="1">
        <f t="shared" si="89"/>
        <v>0</v>
      </c>
      <c r="M471" s="207">
        <f t="shared" si="100"/>
        <v>0</v>
      </c>
      <c r="N471" s="207">
        <f t="shared" si="101"/>
        <v>0</v>
      </c>
      <c r="O471" s="207">
        <f t="shared" si="102"/>
        <v>0</v>
      </c>
      <c r="P471" s="1">
        <f t="shared" si="103"/>
        <v>0</v>
      </c>
      <c r="Q471" s="117">
        <f t="shared" si="94"/>
        <v>0</v>
      </c>
      <c r="R471" s="207">
        <f t="shared" si="104"/>
        <v>0</v>
      </c>
      <c r="S471" s="207">
        <f t="shared" si="105"/>
        <v>0</v>
      </c>
      <c r="T471" s="207">
        <f t="shared" si="106"/>
        <v>0</v>
      </c>
      <c r="U471" s="39"/>
    </row>
    <row r="472" spans="1:21" x14ac:dyDescent="0.25">
      <c r="A472" s="31"/>
      <c r="B472" s="205">
        <f>Investissements!B38</f>
        <v>0</v>
      </c>
      <c r="C472" s="221">
        <f>Investissements!C38</f>
        <v>0</v>
      </c>
      <c r="D472" s="222">
        <f>Investissements!D38</f>
        <v>0</v>
      </c>
      <c r="E472" s="223">
        <f>Investissements!E38</f>
        <v>0</v>
      </c>
      <c r="F472" s="224">
        <f>Investissements!F38</f>
        <v>0</v>
      </c>
      <c r="G472" s="54">
        <f t="shared" si="85"/>
        <v>0</v>
      </c>
      <c r="H472" s="1">
        <f t="shared" si="98"/>
        <v>0</v>
      </c>
      <c r="I472" s="207">
        <f t="shared" si="86"/>
        <v>0</v>
      </c>
      <c r="J472" s="207">
        <f t="shared" si="87"/>
        <v>0</v>
      </c>
      <c r="K472" s="1">
        <f t="shared" si="99"/>
        <v>0</v>
      </c>
      <c r="L472" s="1">
        <f t="shared" si="89"/>
        <v>0</v>
      </c>
      <c r="M472" s="207">
        <f t="shared" si="100"/>
        <v>0</v>
      </c>
      <c r="N472" s="207">
        <f t="shared" si="101"/>
        <v>0</v>
      </c>
      <c r="O472" s="207">
        <f t="shared" si="102"/>
        <v>0</v>
      </c>
      <c r="P472" s="1">
        <f t="shared" si="103"/>
        <v>0</v>
      </c>
      <c r="Q472" s="117">
        <f t="shared" si="94"/>
        <v>0</v>
      </c>
      <c r="R472" s="207">
        <f t="shared" si="104"/>
        <v>0</v>
      </c>
      <c r="S472" s="207">
        <f t="shared" si="105"/>
        <v>0</v>
      </c>
      <c r="T472" s="207">
        <f t="shared" si="106"/>
        <v>0</v>
      </c>
      <c r="U472" s="39"/>
    </row>
    <row r="473" spans="1:21" x14ac:dyDescent="0.25">
      <c r="A473" s="31"/>
      <c r="B473" s="205">
        <f>Investissements!B39</f>
        <v>0</v>
      </c>
      <c r="C473" s="221">
        <f>Investissements!C39</f>
        <v>0</v>
      </c>
      <c r="D473" s="222">
        <f>Investissements!D39</f>
        <v>0</v>
      </c>
      <c r="E473" s="223">
        <f>Investissements!E39</f>
        <v>0</v>
      </c>
      <c r="F473" s="224">
        <f>Investissements!F39</f>
        <v>0</v>
      </c>
      <c r="G473" s="54">
        <f t="shared" si="85"/>
        <v>0</v>
      </c>
      <c r="H473" s="1">
        <f t="shared" si="98"/>
        <v>0</v>
      </c>
      <c r="I473" s="207">
        <f t="shared" si="86"/>
        <v>0</v>
      </c>
      <c r="J473" s="207">
        <f t="shared" si="87"/>
        <v>0</v>
      </c>
      <c r="K473" s="1">
        <f t="shared" si="99"/>
        <v>0</v>
      </c>
      <c r="L473" s="1">
        <f t="shared" si="89"/>
        <v>0</v>
      </c>
      <c r="M473" s="207">
        <f t="shared" si="100"/>
        <v>0</v>
      </c>
      <c r="N473" s="207">
        <f t="shared" si="101"/>
        <v>0</v>
      </c>
      <c r="O473" s="207">
        <f t="shared" si="102"/>
        <v>0</v>
      </c>
      <c r="P473" s="1">
        <f t="shared" si="103"/>
        <v>0</v>
      </c>
      <c r="Q473" s="117">
        <f t="shared" si="94"/>
        <v>0</v>
      </c>
      <c r="R473" s="207">
        <f t="shared" si="104"/>
        <v>0</v>
      </c>
      <c r="S473" s="207">
        <f t="shared" si="105"/>
        <v>0</v>
      </c>
      <c r="T473" s="207">
        <f t="shared" si="106"/>
        <v>0</v>
      </c>
      <c r="U473" s="39"/>
    </row>
    <row r="474" spans="1:21" x14ac:dyDescent="0.25">
      <c r="A474" s="31"/>
      <c r="B474" s="205">
        <f>Investissements!B40</f>
        <v>0</v>
      </c>
      <c r="C474" s="221">
        <f>Investissements!C40</f>
        <v>0</v>
      </c>
      <c r="D474" s="222">
        <f>Investissements!D40</f>
        <v>0</v>
      </c>
      <c r="E474" s="223">
        <f>Investissements!E40</f>
        <v>0</v>
      </c>
      <c r="F474" s="224">
        <f>Investissements!F40</f>
        <v>0</v>
      </c>
      <c r="G474" s="54">
        <f t="shared" si="85"/>
        <v>0</v>
      </c>
      <c r="H474" s="1">
        <f t="shared" si="98"/>
        <v>0</v>
      </c>
      <c r="I474" s="207">
        <f t="shared" si="86"/>
        <v>0</v>
      </c>
      <c r="J474" s="207">
        <f t="shared" si="87"/>
        <v>0</v>
      </c>
      <c r="K474" s="1">
        <f t="shared" si="99"/>
        <v>0</v>
      </c>
      <c r="L474" s="1">
        <f t="shared" si="89"/>
        <v>0</v>
      </c>
      <c r="M474" s="207">
        <f t="shared" si="100"/>
        <v>0</v>
      </c>
      <c r="N474" s="207">
        <f t="shared" si="101"/>
        <v>0</v>
      </c>
      <c r="O474" s="207">
        <f t="shared" si="102"/>
        <v>0</v>
      </c>
      <c r="P474" s="1">
        <f t="shared" si="103"/>
        <v>0</v>
      </c>
      <c r="Q474" s="117">
        <f t="shared" si="94"/>
        <v>0</v>
      </c>
      <c r="R474" s="207">
        <f t="shared" si="104"/>
        <v>0</v>
      </c>
      <c r="S474" s="207">
        <f t="shared" si="105"/>
        <v>0</v>
      </c>
      <c r="T474" s="207">
        <f t="shared" si="106"/>
        <v>0</v>
      </c>
      <c r="U474" s="39"/>
    </row>
    <row r="475" spans="1:21" x14ac:dyDescent="0.25">
      <c r="A475" s="31"/>
      <c r="B475" s="205">
        <f>Investissements!B41</f>
        <v>0</v>
      </c>
      <c r="C475" s="221">
        <f>Investissements!C41</f>
        <v>0</v>
      </c>
      <c r="D475" s="222">
        <f>Investissements!D41</f>
        <v>0</v>
      </c>
      <c r="E475" s="223">
        <f>Investissements!E41</f>
        <v>0</v>
      </c>
      <c r="F475" s="224">
        <f>Investissements!F41</f>
        <v>0</v>
      </c>
      <c r="G475" s="54">
        <f t="shared" si="85"/>
        <v>0</v>
      </c>
      <c r="H475" s="1">
        <f t="shared" si="98"/>
        <v>0</v>
      </c>
      <c r="I475" s="207">
        <f t="shared" si="86"/>
        <v>0</v>
      </c>
      <c r="J475" s="207">
        <f t="shared" si="87"/>
        <v>0</v>
      </c>
      <c r="K475" s="1">
        <f t="shared" si="99"/>
        <v>0</v>
      </c>
      <c r="L475" s="1">
        <f t="shared" si="89"/>
        <v>0</v>
      </c>
      <c r="M475" s="207">
        <f t="shared" si="100"/>
        <v>0</v>
      </c>
      <c r="N475" s="207">
        <f t="shared" si="101"/>
        <v>0</v>
      </c>
      <c r="O475" s="207">
        <f t="shared" si="102"/>
        <v>0</v>
      </c>
      <c r="P475" s="1">
        <f t="shared" si="103"/>
        <v>0</v>
      </c>
      <c r="Q475" s="117">
        <f t="shared" si="94"/>
        <v>0</v>
      </c>
      <c r="R475" s="207">
        <f t="shared" si="104"/>
        <v>0</v>
      </c>
      <c r="S475" s="207">
        <f t="shared" si="105"/>
        <v>0</v>
      </c>
      <c r="T475" s="207">
        <f t="shared" si="106"/>
        <v>0</v>
      </c>
      <c r="U475" s="39"/>
    </row>
    <row r="476" spans="1:21" x14ac:dyDescent="0.25">
      <c r="A476" s="31"/>
      <c r="B476" s="205">
        <f>Investissements!B42</f>
        <v>0</v>
      </c>
      <c r="C476" s="221">
        <f>Investissements!C42</f>
        <v>0</v>
      </c>
      <c r="D476" s="222">
        <f>Investissements!D42</f>
        <v>0</v>
      </c>
      <c r="E476" s="223">
        <f>Investissements!E42</f>
        <v>0</v>
      </c>
      <c r="F476" s="224">
        <f>Investissements!F42</f>
        <v>0</v>
      </c>
      <c r="G476" s="54">
        <f t="shared" si="85"/>
        <v>0</v>
      </c>
      <c r="H476" s="1">
        <f t="shared" si="98"/>
        <v>0</v>
      </c>
      <c r="I476" s="207">
        <f t="shared" si="86"/>
        <v>0</v>
      </c>
      <c r="J476" s="207">
        <f t="shared" si="87"/>
        <v>0</v>
      </c>
      <c r="K476" s="1">
        <f t="shared" si="99"/>
        <v>0</v>
      </c>
      <c r="L476" s="1">
        <f t="shared" si="89"/>
        <v>0</v>
      </c>
      <c r="M476" s="207">
        <f t="shared" si="100"/>
        <v>0</v>
      </c>
      <c r="N476" s="207">
        <f t="shared" si="101"/>
        <v>0</v>
      </c>
      <c r="O476" s="207">
        <f t="shared" si="102"/>
        <v>0</v>
      </c>
      <c r="P476" s="1">
        <f t="shared" si="103"/>
        <v>0</v>
      </c>
      <c r="Q476" s="117">
        <f t="shared" si="94"/>
        <v>0</v>
      </c>
      <c r="R476" s="207">
        <f t="shared" si="104"/>
        <v>0</v>
      </c>
      <c r="S476" s="207">
        <f t="shared" si="105"/>
        <v>0</v>
      </c>
      <c r="T476" s="207">
        <f t="shared" si="106"/>
        <v>0</v>
      </c>
      <c r="U476" s="39"/>
    </row>
    <row r="477" spans="1:21" x14ac:dyDescent="0.25">
      <c r="A477" s="31"/>
      <c r="B477" s="205">
        <f>Investissements!B43</f>
        <v>0</v>
      </c>
      <c r="C477" s="221">
        <f>Investissements!C43</f>
        <v>0</v>
      </c>
      <c r="D477" s="222">
        <f>Investissements!D43</f>
        <v>0</v>
      </c>
      <c r="E477" s="223">
        <f>Investissements!E43</f>
        <v>0</v>
      </c>
      <c r="F477" s="224">
        <f>Investissements!F43</f>
        <v>0</v>
      </c>
      <c r="G477" s="54">
        <f t="shared" si="85"/>
        <v>0</v>
      </c>
      <c r="H477" s="1">
        <f t="shared" si="98"/>
        <v>0</v>
      </c>
      <c r="I477" s="207">
        <f t="shared" si="86"/>
        <v>0</v>
      </c>
      <c r="J477" s="207">
        <f t="shared" si="87"/>
        <v>0</v>
      </c>
      <c r="K477" s="1">
        <f t="shared" si="99"/>
        <v>0</v>
      </c>
      <c r="L477" s="1">
        <f t="shared" si="89"/>
        <v>0</v>
      </c>
      <c r="M477" s="207">
        <f t="shared" si="100"/>
        <v>0</v>
      </c>
      <c r="N477" s="207">
        <f t="shared" si="101"/>
        <v>0</v>
      </c>
      <c r="O477" s="207">
        <f t="shared" si="102"/>
        <v>0</v>
      </c>
      <c r="P477" s="1">
        <f t="shared" si="103"/>
        <v>0</v>
      </c>
      <c r="Q477" s="117">
        <f t="shared" si="94"/>
        <v>0</v>
      </c>
      <c r="R477" s="207">
        <f t="shared" si="104"/>
        <v>0</v>
      </c>
      <c r="S477" s="207">
        <f t="shared" si="105"/>
        <v>0</v>
      </c>
      <c r="T477" s="207">
        <f t="shared" si="106"/>
        <v>0</v>
      </c>
      <c r="U477" s="39"/>
    </row>
    <row r="478" spans="1:21" x14ac:dyDescent="0.25">
      <c r="A478" s="31"/>
      <c r="B478" s="205">
        <f>Investissements!B44</f>
        <v>0</v>
      </c>
      <c r="C478" s="221">
        <f>Investissements!C44</f>
        <v>0</v>
      </c>
      <c r="D478" s="222">
        <f>Investissements!D44</f>
        <v>0</v>
      </c>
      <c r="E478" s="223">
        <f>Investissements!E44</f>
        <v>0</v>
      </c>
      <c r="F478" s="224">
        <f>Investissements!F44</f>
        <v>0</v>
      </c>
      <c r="G478" s="54">
        <f t="shared" si="85"/>
        <v>0</v>
      </c>
      <c r="H478" s="1">
        <f t="shared" si="98"/>
        <v>0</v>
      </c>
      <c r="I478" s="207">
        <f t="shared" si="86"/>
        <v>0</v>
      </c>
      <c r="J478" s="207">
        <f t="shared" si="87"/>
        <v>0</v>
      </c>
      <c r="K478" s="1">
        <f t="shared" si="99"/>
        <v>0</v>
      </c>
      <c r="L478" s="1">
        <f t="shared" si="89"/>
        <v>0</v>
      </c>
      <c r="M478" s="207">
        <f t="shared" si="100"/>
        <v>0</v>
      </c>
      <c r="N478" s="207">
        <f t="shared" si="101"/>
        <v>0</v>
      </c>
      <c r="O478" s="207">
        <f t="shared" si="102"/>
        <v>0</v>
      </c>
      <c r="P478" s="1">
        <f t="shared" si="103"/>
        <v>0</v>
      </c>
      <c r="Q478" s="117">
        <f t="shared" si="94"/>
        <v>0</v>
      </c>
      <c r="R478" s="207">
        <f t="shared" si="104"/>
        <v>0</v>
      </c>
      <c r="S478" s="207">
        <f t="shared" si="105"/>
        <v>0</v>
      </c>
      <c r="T478" s="207">
        <f t="shared" si="106"/>
        <v>0</v>
      </c>
      <c r="U478" s="39"/>
    </row>
    <row r="479" spans="1:21" x14ac:dyDescent="0.25">
      <c r="A479" s="31"/>
      <c r="B479" s="205">
        <f>Investissements!B45</f>
        <v>0</v>
      </c>
      <c r="C479" s="221">
        <f>Investissements!C45</f>
        <v>0</v>
      </c>
      <c r="D479" s="222">
        <f>Investissements!D45</f>
        <v>0</v>
      </c>
      <c r="E479" s="223">
        <f>Investissements!E45</f>
        <v>0</v>
      </c>
      <c r="F479" s="224">
        <f>Investissements!F45</f>
        <v>0</v>
      </c>
      <c r="G479" s="54">
        <f t="shared" si="85"/>
        <v>0</v>
      </c>
      <c r="H479" s="1">
        <f t="shared" si="98"/>
        <v>0</v>
      </c>
      <c r="I479" s="207">
        <f t="shared" si="86"/>
        <v>0</v>
      </c>
      <c r="J479" s="207">
        <f t="shared" si="87"/>
        <v>0</v>
      </c>
      <c r="K479" s="1">
        <f t="shared" si="99"/>
        <v>0</v>
      </c>
      <c r="L479" s="1">
        <f t="shared" si="89"/>
        <v>0</v>
      </c>
      <c r="M479" s="207">
        <f t="shared" si="100"/>
        <v>0</v>
      </c>
      <c r="N479" s="207">
        <f t="shared" si="101"/>
        <v>0</v>
      </c>
      <c r="O479" s="207">
        <f t="shared" si="102"/>
        <v>0</v>
      </c>
      <c r="P479" s="1">
        <f t="shared" si="103"/>
        <v>0</v>
      </c>
      <c r="Q479" s="117">
        <f t="shared" si="94"/>
        <v>0</v>
      </c>
      <c r="R479" s="207">
        <f t="shared" si="104"/>
        <v>0</v>
      </c>
      <c r="S479" s="207">
        <f t="shared" si="105"/>
        <v>0</v>
      </c>
      <c r="T479" s="207">
        <f t="shared" si="106"/>
        <v>0</v>
      </c>
      <c r="U479" s="39"/>
    </row>
    <row r="480" spans="1:21" x14ac:dyDescent="0.25">
      <c r="A480" s="31"/>
      <c r="B480" s="205">
        <f>Investissements!B46</f>
        <v>0</v>
      </c>
      <c r="C480" s="221">
        <f>Investissements!C46</f>
        <v>0</v>
      </c>
      <c r="D480" s="222">
        <f>Investissements!D46</f>
        <v>0</v>
      </c>
      <c r="E480" s="223">
        <f>Investissements!E46</f>
        <v>0</v>
      </c>
      <c r="F480" s="224">
        <f>Investissements!F46</f>
        <v>0</v>
      </c>
      <c r="G480" s="54">
        <f t="shared" si="85"/>
        <v>0</v>
      </c>
      <c r="H480" s="1">
        <f t="shared" si="98"/>
        <v>0</v>
      </c>
      <c r="I480" s="207">
        <f t="shared" si="86"/>
        <v>0</v>
      </c>
      <c r="J480" s="207">
        <f t="shared" si="87"/>
        <v>0</v>
      </c>
      <c r="K480" s="1">
        <f t="shared" si="99"/>
        <v>0</v>
      </c>
      <c r="L480" s="1">
        <f t="shared" si="89"/>
        <v>0</v>
      </c>
      <c r="M480" s="207">
        <f t="shared" si="100"/>
        <v>0</v>
      </c>
      <c r="N480" s="207">
        <f t="shared" si="101"/>
        <v>0</v>
      </c>
      <c r="O480" s="207">
        <f t="shared" si="102"/>
        <v>0</v>
      </c>
      <c r="P480" s="1">
        <f t="shared" si="103"/>
        <v>0</v>
      </c>
      <c r="Q480" s="117">
        <f t="shared" si="94"/>
        <v>0</v>
      </c>
      <c r="R480" s="207">
        <f t="shared" si="104"/>
        <v>0</v>
      </c>
      <c r="S480" s="207">
        <f t="shared" si="105"/>
        <v>0</v>
      </c>
      <c r="T480" s="207">
        <f t="shared" si="106"/>
        <v>0</v>
      </c>
      <c r="U480" s="39"/>
    </row>
    <row r="481" spans="1:21" x14ac:dyDescent="0.25">
      <c r="A481" s="31"/>
      <c r="B481" s="205">
        <f>Investissements!B47</f>
        <v>0</v>
      </c>
      <c r="C481" s="221">
        <f>Investissements!C47</f>
        <v>0</v>
      </c>
      <c r="D481" s="222">
        <f>Investissements!D47</f>
        <v>0</v>
      </c>
      <c r="E481" s="223">
        <f>Investissements!E47</f>
        <v>0</v>
      </c>
      <c r="F481" s="224">
        <f>Investissements!F47</f>
        <v>0</v>
      </c>
      <c r="G481" s="54">
        <f t="shared" si="85"/>
        <v>0</v>
      </c>
      <c r="H481" s="1">
        <f t="shared" si="98"/>
        <v>0</v>
      </c>
      <c r="I481" s="207">
        <f t="shared" si="86"/>
        <v>0</v>
      </c>
      <c r="J481" s="207">
        <f t="shared" si="87"/>
        <v>0</v>
      </c>
      <c r="K481" s="1">
        <f t="shared" si="99"/>
        <v>0</v>
      </c>
      <c r="L481" s="1">
        <f t="shared" si="89"/>
        <v>0</v>
      </c>
      <c r="M481" s="207">
        <f t="shared" si="100"/>
        <v>0</v>
      </c>
      <c r="N481" s="207">
        <f t="shared" si="101"/>
        <v>0</v>
      </c>
      <c r="O481" s="207">
        <f t="shared" si="102"/>
        <v>0</v>
      </c>
      <c r="P481" s="1">
        <f t="shared" si="103"/>
        <v>0</v>
      </c>
      <c r="Q481" s="117">
        <f t="shared" si="94"/>
        <v>0</v>
      </c>
      <c r="R481" s="207">
        <f t="shared" si="104"/>
        <v>0</v>
      </c>
      <c r="S481" s="207">
        <f t="shared" si="105"/>
        <v>0</v>
      </c>
      <c r="T481" s="207">
        <f t="shared" si="106"/>
        <v>0</v>
      </c>
      <c r="U481" s="39"/>
    </row>
    <row r="482" spans="1:21" x14ac:dyDescent="0.25">
      <c r="A482" s="31"/>
      <c r="B482" s="205">
        <f>Investissements!B48</f>
        <v>0</v>
      </c>
      <c r="C482" s="221">
        <f>Investissements!C48</f>
        <v>0</v>
      </c>
      <c r="D482" s="222">
        <f>Investissements!D48</f>
        <v>0</v>
      </c>
      <c r="E482" s="223">
        <f>Investissements!E48</f>
        <v>0</v>
      </c>
      <c r="F482" s="224">
        <f>Investissements!F48</f>
        <v>0</v>
      </c>
      <c r="G482" s="54">
        <f t="shared" si="85"/>
        <v>0</v>
      </c>
      <c r="H482" s="1">
        <f t="shared" si="98"/>
        <v>0</v>
      </c>
      <c r="I482" s="207">
        <f t="shared" si="86"/>
        <v>0</v>
      </c>
      <c r="J482" s="207">
        <f t="shared" si="87"/>
        <v>0</v>
      </c>
      <c r="K482" s="1">
        <f t="shared" si="99"/>
        <v>0</v>
      </c>
      <c r="L482" s="1">
        <f t="shared" si="89"/>
        <v>0</v>
      </c>
      <c r="M482" s="207">
        <f t="shared" si="100"/>
        <v>0</v>
      </c>
      <c r="N482" s="207">
        <f t="shared" si="101"/>
        <v>0</v>
      </c>
      <c r="O482" s="207">
        <f t="shared" si="102"/>
        <v>0</v>
      </c>
      <c r="P482" s="1">
        <f t="shared" si="103"/>
        <v>0</v>
      </c>
      <c r="Q482" s="117">
        <f t="shared" si="94"/>
        <v>0</v>
      </c>
      <c r="R482" s="207">
        <f t="shared" si="104"/>
        <v>0</v>
      </c>
      <c r="S482" s="207">
        <f t="shared" si="105"/>
        <v>0</v>
      </c>
      <c r="T482" s="207">
        <f t="shared" si="106"/>
        <v>0</v>
      </c>
      <c r="U482" s="39"/>
    </row>
    <row r="483" spans="1:21" x14ac:dyDescent="0.25">
      <c r="A483" s="31"/>
      <c r="B483" s="205">
        <f>Investissements!B49</f>
        <v>0</v>
      </c>
      <c r="C483" s="221">
        <f>Investissements!C49</f>
        <v>0</v>
      </c>
      <c r="D483" s="222">
        <f>Investissements!D49</f>
        <v>0</v>
      </c>
      <c r="E483" s="223">
        <f>Investissements!E49</f>
        <v>0</v>
      </c>
      <c r="F483" s="224">
        <f>Investissements!F49</f>
        <v>0</v>
      </c>
      <c r="G483" s="54">
        <f t="shared" si="85"/>
        <v>0</v>
      </c>
      <c r="H483" s="1">
        <f t="shared" si="98"/>
        <v>0</v>
      </c>
      <c r="I483" s="207">
        <f t="shared" si="86"/>
        <v>0</v>
      </c>
      <c r="J483" s="207">
        <f t="shared" si="87"/>
        <v>0</v>
      </c>
      <c r="K483" s="1">
        <f t="shared" si="99"/>
        <v>0</v>
      </c>
      <c r="L483" s="1">
        <f t="shared" si="89"/>
        <v>0</v>
      </c>
      <c r="M483" s="207">
        <f t="shared" si="100"/>
        <v>0</v>
      </c>
      <c r="N483" s="207">
        <f t="shared" si="101"/>
        <v>0</v>
      </c>
      <c r="O483" s="207">
        <f t="shared" si="102"/>
        <v>0</v>
      </c>
      <c r="P483" s="1">
        <f t="shared" si="103"/>
        <v>0</v>
      </c>
      <c r="Q483" s="117">
        <f t="shared" si="94"/>
        <v>0</v>
      </c>
      <c r="R483" s="207">
        <f t="shared" si="104"/>
        <v>0</v>
      </c>
      <c r="S483" s="207">
        <f t="shared" si="105"/>
        <v>0</v>
      </c>
      <c r="T483" s="207">
        <f t="shared" si="106"/>
        <v>0</v>
      </c>
      <c r="U483" s="39"/>
    </row>
    <row r="484" spans="1:21" x14ac:dyDescent="0.25">
      <c r="A484" s="31"/>
      <c r="B484" s="205">
        <f>Investissements!B50</f>
        <v>0</v>
      </c>
      <c r="C484" s="221">
        <f>Investissements!C50</f>
        <v>0</v>
      </c>
      <c r="D484" s="222">
        <f>Investissements!D50</f>
        <v>0</v>
      </c>
      <c r="E484" s="223">
        <f>Investissements!E50</f>
        <v>0</v>
      </c>
      <c r="F484" s="224">
        <f>Investissements!F50</f>
        <v>0</v>
      </c>
      <c r="G484" s="54">
        <f t="shared" si="85"/>
        <v>0</v>
      </c>
      <c r="H484" s="1">
        <f t="shared" si="98"/>
        <v>0</v>
      </c>
      <c r="I484" s="207">
        <f t="shared" si="86"/>
        <v>0</v>
      </c>
      <c r="J484" s="207">
        <f t="shared" si="87"/>
        <v>0</v>
      </c>
      <c r="K484" s="1">
        <f t="shared" si="99"/>
        <v>0</v>
      </c>
      <c r="L484" s="1">
        <f t="shared" si="89"/>
        <v>0</v>
      </c>
      <c r="M484" s="207">
        <f t="shared" si="100"/>
        <v>0</v>
      </c>
      <c r="N484" s="207">
        <f t="shared" si="101"/>
        <v>0</v>
      </c>
      <c r="O484" s="207">
        <f t="shared" si="102"/>
        <v>0</v>
      </c>
      <c r="P484" s="1">
        <f t="shared" si="103"/>
        <v>0</v>
      </c>
      <c r="Q484" s="117">
        <f t="shared" si="94"/>
        <v>0</v>
      </c>
      <c r="R484" s="207">
        <f t="shared" si="104"/>
        <v>0</v>
      </c>
      <c r="S484" s="207">
        <f t="shared" si="105"/>
        <v>0</v>
      </c>
      <c r="T484" s="207">
        <f t="shared" si="106"/>
        <v>0</v>
      </c>
      <c r="U484" s="39"/>
    </row>
    <row r="485" spans="1:21" x14ac:dyDescent="0.25">
      <c r="A485" s="31"/>
      <c r="B485" s="205">
        <f>Investissements!B51</f>
        <v>0</v>
      </c>
      <c r="C485" s="221">
        <f>Investissements!C51</f>
        <v>0</v>
      </c>
      <c r="D485" s="222">
        <f>Investissements!D51</f>
        <v>0</v>
      </c>
      <c r="E485" s="223">
        <f>Investissements!E51</f>
        <v>0</v>
      </c>
      <c r="F485" s="224">
        <f>Investissements!F51</f>
        <v>0</v>
      </c>
      <c r="G485" s="54">
        <f t="shared" si="85"/>
        <v>0</v>
      </c>
      <c r="H485" s="1">
        <f t="shared" si="98"/>
        <v>0</v>
      </c>
      <c r="I485" s="207">
        <f t="shared" si="86"/>
        <v>0</v>
      </c>
      <c r="J485" s="207">
        <f t="shared" si="87"/>
        <v>0</v>
      </c>
      <c r="K485" s="1">
        <f t="shared" si="99"/>
        <v>0</v>
      </c>
      <c r="L485" s="1">
        <f t="shared" si="89"/>
        <v>0</v>
      </c>
      <c r="M485" s="207">
        <f t="shared" si="100"/>
        <v>0</v>
      </c>
      <c r="N485" s="207">
        <f t="shared" si="101"/>
        <v>0</v>
      </c>
      <c r="O485" s="207">
        <f t="shared" si="102"/>
        <v>0</v>
      </c>
      <c r="P485" s="1">
        <f t="shared" si="103"/>
        <v>0</v>
      </c>
      <c r="Q485" s="117">
        <f t="shared" si="94"/>
        <v>0</v>
      </c>
      <c r="R485" s="207">
        <f t="shared" si="104"/>
        <v>0</v>
      </c>
      <c r="S485" s="207">
        <f t="shared" si="105"/>
        <v>0</v>
      </c>
      <c r="T485" s="207">
        <f t="shared" si="106"/>
        <v>0</v>
      </c>
      <c r="U485" s="39"/>
    </row>
    <row r="486" spans="1:21" x14ac:dyDescent="0.25">
      <c r="A486" s="31"/>
      <c r="B486" s="205">
        <f>Investissements!B52</f>
        <v>0</v>
      </c>
      <c r="C486" s="221">
        <f>Investissements!C52</f>
        <v>0</v>
      </c>
      <c r="D486" s="222">
        <f>Investissements!D52</f>
        <v>0</v>
      </c>
      <c r="E486" s="223">
        <f>Investissements!E52</f>
        <v>0</v>
      </c>
      <c r="F486" s="224">
        <f>Investissements!F52</f>
        <v>0</v>
      </c>
      <c r="G486" s="54">
        <f t="shared" si="85"/>
        <v>0</v>
      </c>
      <c r="H486" s="1">
        <f t="shared" si="98"/>
        <v>0</v>
      </c>
      <c r="I486" s="207">
        <f t="shared" si="86"/>
        <v>0</v>
      </c>
      <c r="J486" s="207">
        <f t="shared" si="87"/>
        <v>0</v>
      </c>
      <c r="K486" s="1">
        <f t="shared" si="99"/>
        <v>0</v>
      </c>
      <c r="L486" s="1">
        <f t="shared" si="89"/>
        <v>0</v>
      </c>
      <c r="M486" s="207">
        <f t="shared" si="100"/>
        <v>0</v>
      </c>
      <c r="N486" s="207">
        <f t="shared" si="101"/>
        <v>0</v>
      </c>
      <c r="O486" s="207">
        <f t="shared" si="102"/>
        <v>0</v>
      </c>
      <c r="P486" s="1">
        <f t="shared" si="103"/>
        <v>0</v>
      </c>
      <c r="Q486" s="117">
        <f t="shared" si="94"/>
        <v>0</v>
      </c>
      <c r="R486" s="207">
        <f t="shared" si="104"/>
        <v>0</v>
      </c>
      <c r="S486" s="207">
        <f t="shared" si="105"/>
        <v>0</v>
      </c>
      <c r="T486" s="207">
        <f t="shared" si="106"/>
        <v>0</v>
      </c>
      <c r="U486" s="39"/>
    </row>
    <row r="487" spans="1:21" x14ac:dyDescent="0.25">
      <c r="A487" s="31"/>
      <c r="B487" s="205">
        <f>Investissements!B53</f>
        <v>0</v>
      </c>
      <c r="C487" s="221">
        <f>Investissements!C53</f>
        <v>0</v>
      </c>
      <c r="D487" s="222">
        <f>Investissements!D53</f>
        <v>0</v>
      </c>
      <c r="E487" s="223">
        <f>Investissements!E53</f>
        <v>0</v>
      </c>
      <c r="F487" s="224">
        <f>Investissements!F53</f>
        <v>0</v>
      </c>
      <c r="G487" s="54">
        <f t="shared" si="85"/>
        <v>0</v>
      </c>
      <c r="H487" s="1">
        <f t="shared" si="98"/>
        <v>0</v>
      </c>
      <c r="I487" s="207">
        <f t="shared" si="86"/>
        <v>0</v>
      </c>
      <c r="J487" s="207">
        <f t="shared" si="87"/>
        <v>0</v>
      </c>
      <c r="K487" s="1">
        <f t="shared" si="99"/>
        <v>0</v>
      </c>
      <c r="L487" s="1">
        <f t="shared" si="89"/>
        <v>0</v>
      </c>
      <c r="M487" s="207">
        <f t="shared" si="100"/>
        <v>0</v>
      </c>
      <c r="N487" s="207">
        <f t="shared" si="101"/>
        <v>0</v>
      </c>
      <c r="O487" s="207">
        <f t="shared" si="102"/>
        <v>0</v>
      </c>
      <c r="P487" s="1">
        <f t="shared" si="103"/>
        <v>0</v>
      </c>
      <c r="Q487" s="117">
        <f t="shared" si="94"/>
        <v>0</v>
      </c>
      <c r="R487" s="207">
        <f t="shared" si="104"/>
        <v>0</v>
      </c>
      <c r="S487" s="207">
        <f t="shared" si="105"/>
        <v>0</v>
      </c>
      <c r="T487" s="207">
        <f t="shared" si="106"/>
        <v>0</v>
      </c>
      <c r="U487" s="39"/>
    </row>
    <row r="488" spans="1:21" x14ac:dyDescent="0.25">
      <c r="A488" s="31"/>
      <c r="B488" s="231" t="s">
        <v>20</v>
      </c>
      <c r="C488" s="232">
        <f>SUM(C467:C487)</f>
        <v>0</v>
      </c>
      <c r="D488" s="233"/>
      <c r="E488" s="233"/>
      <c r="F488" s="233"/>
      <c r="G488" s="233"/>
      <c r="H488" s="233"/>
      <c r="I488" s="234">
        <f>SUM(I467:I487)</f>
        <v>0</v>
      </c>
      <c r="J488" s="234">
        <f>SUM(J467:J487)</f>
        <v>0</v>
      </c>
      <c r="K488" s="235"/>
      <c r="L488" s="235"/>
      <c r="M488" s="234">
        <f>SUM(M467:M487)</f>
        <v>0</v>
      </c>
      <c r="N488" s="234">
        <f>SUM(N467:N487)</f>
        <v>0</v>
      </c>
      <c r="O488" s="234">
        <f>SUM(O467:O487)</f>
        <v>0</v>
      </c>
      <c r="P488" s="235"/>
      <c r="Q488" s="235"/>
      <c r="R488" s="234">
        <f>SUM(R467:R487)</f>
        <v>0</v>
      </c>
      <c r="S488" s="234">
        <f>SUM(S467:S487)</f>
        <v>0</v>
      </c>
      <c r="T488" s="234">
        <f>SUM(T467:T487)</f>
        <v>0</v>
      </c>
      <c r="U488" s="39"/>
    </row>
    <row r="489" spans="1:21" x14ac:dyDescent="0.25">
      <c r="A489" s="31"/>
      <c r="B489" s="210" t="s">
        <v>358</v>
      </c>
      <c r="C489" s="215"/>
      <c r="D489" s="215"/>
      <c r="E489" s="215"/>
      <c r="F489" s="215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6"/>
      <c r="U489" s="39"/>
    </row>
    <row r="490" spans="1:21" x14ac:dyDescent="0.25">
      <c r="A490" s="31"/>
      <c r="B490" s="208" t="str">
        <f>+Investissements!B56</f>
        <v>(Mettre l'intitulé de chaque investissement)</v>
      </c>
      <c r="C490" s="246">
        <f>Investissements!C56</f>
        <v>0</v>
      </c>
      <c r="D490" s="223">
        <f>Investissements!D56</f>
        <v>0</v>
      </c>
      <c r="E490" s="223">
        <f>Investissements!E56</f>
        <v>0</v>
      </c>
      <c r="F490" s="220"/>
      <c r="G490" s="220"/>
      <c r="H490" s="220"/>
      <c r="I490" s="207">
        <f t="shared" ref="I490:I495" si="107">H490*G490</f>
        <v>0</v>
      </c>
      <c r="J490" s="207">
        <f>IF(C490="Année 1",#REF!-I490,0)</f>
        <v>0</v>
      </c>
      <c r="K490" s="31"/>
      <c r="L490" s="31"/>
      <c r="M490" s="207">
        <f t="shared" ref="M490" si="108">IF(L490&gt;0,G490*L490,0)</f>
        <v>0</v>
      </c>
      <c r="N490" s="207">
        <f t="shared" ref="N490" si="109">M490+I490</f>
        <v>0</v>
      </c>
      <c r="O490" s="207">
        <f>IF(N490&gt;0,#REF!-N490,0)</f>
        <v>0</v>
      </c>
      <c r="P490" s="31"/>
      <c r="Q490" s="31"/>
      <c r="R490" s="207">
        <f t="shared" ref="R490" si="110">Q490*G490</f>
        <v>0</v>
      </c>
      <c r="S490" s="207">
        <f t="shared" ref="S490" si="111">N490+R490</f>
        <v>0</v>
      </c>
      <c r="T490" s="207">
        <f>IF(S490&gt;0,#REF!-S490,0)</f>
        <v>0</v>
      </c>
      <c r="U490" s="39"/>
    </row>
    <row r="491" spans="1:21" x14ac:dyDescent="0.25">
      <c r="A491" s="31"/>
      <c r="B491" s="184">
        <f>+Investissements!B57</f>
        <v>0</v>
      </c>
      <c r="C491" s="246">
        <f>Investissements!C57</f>
        <v>0</v>
      </c>
      <c r="D491" s="223">
        <f>Investissements!D57</f>
        <v>0</v>
      </c>
      <c r="E491" s="223">
        <f>Investissements!E57</f>
        <v>0</v>
      </c>
      <c r="F491" s="220"/>
      <c r="G491" s="220"/>
      <c r="H491" s="220"/>
      <c r="I491" s="207">
        <f t="shared" si="107"/>
        <v>0</v>
      </c>
      <c r="J491" s="207">
        <f>IF(C491="Année 1",#REF!-I491,0)</f>
        <v>0</v>
      </c>
      <c r="K491" s="31"/>
      <c r="L491" s="31"/>
      <c r="M491" s="207">
        <f t="shared" ref="M491:M495" si="112">IF(L491&gt;0,G491*L491,0)</f>
        <v>0</v>
      </c>
      <c r="N491" s="207">
        <f t="shared" ref="N491:N495" si="113">M491+I491</f>
        <v>0</v>
      </c>
      <c r="O491" s="207">
        <f>IF(N491&gt;0,#REF!-N491,0)</f>
        <v>0</v>
      </c>
      <c r="P491" s="31"/>
      <c r="Q491" s="31"/>
      <c r="R491" s="207">
        <f t="shared" ref="R491:R495" si="114">Q491*G491</f>
        <v>0</v>
      </c>
      <c r="S491" s="207">
        <f t="shared" ref="S491:S495" si="115">N491+R491</f>
        <v>0</v>
      </c>
      <c r="T491" s="207">
        <f>IF(S491&gt;0,#REF!-S491,0)</f>
        <v>0</v>
      </c>
      <c r="U491" s="39"/>
    </row>
    <row r="492" spans="1:21" x14ac:dyDescent="0.25">
      <c r="A492" s="31"/>
      <c r="B492" s="184">
        <f>+Investissements!B58</f>
        <v>0</v>
      </c>
      <c r="C492" s="246">
        <f>Investissements!C58</f>
        <v>0</v>
      </c>
      <c r="D492" s="223">
        <f>Investissements!D58</f>
        <v>0</v>
      </c>
      <c r="E492" s="223">
        <f>Investissements!E58</f>
        <v>0</v>
      </c>
      <c r="F492" s="220"/>
      <c r="G492" s="220"/>
      <c r="H492" s="220"/>
      <c r="I492" s="207">
        <f t="shared" si="107"/>
        <v>0</v>
      </c>
      <c r="J492" s="207">
        <f t="shared" ref="J492:J495" si="116">IF(D492="Année 1",C492-I492,0)</f>
        <v>0</v>
      </c>
      <c r="K492" s="31"/>
      <c r="L492" s="31"/>
      <c r="M492" s="207">
        <f t="shared" si="112"/>
        <v>0</v>
      </c>
      <c r="N492" s="207">
        <f t="shared" si="113"/>
        <v>0</v>
      </c>
      <c r="O492" s="207">
        <f t="shared" ref="O492:O495" si="117">IF(N492&gt;0,C492-N492,0)</f>
        <v>0</v>
      </c>
      <c r="P492" s="31"/>
      <c r="Q492" s="31"/>
      <c r="R492" s="207">
        <f t="shared" si="114"/>
        <v>0</v>
      </c>
      <c r="S492" s="207">
        <f t="shared" si="115"/>
        <v>0</v>
      </c>
      <c r="T492" s="207">
        <f t="shared" ref="T492:T495" si="118">IF(S492&gt;0,C492-S492,0)</f>
        <v>0</v>
      </c>
      <c r="U492" s="39"/>
    </row>
    <row r="493" spans="1:21" x14ac:dyDescent="0.25">
      <c r="A493" s="31"/>
      <c r="B493" s="184">
        <f>+Investissements!B59</f>
        <v>0</v>
      </c>
      <c r="C493" s="246">
        <f>Investissements!C59</f>
        <v>0</v>
      </c>
      <c r="D493" s="223">
        <f>Investissements!D59</f>
        <v>0</v>
      </c>
      <c r="E493" s="223">
        <f>Investissements!E59</f>
        <v>0</v>
      </c>
      <c r="F493" s="220"/>
      <c r="G493" s="220"/>
      <c r="H493" s="220"/>
      <c r="I493" s="207">
        <f t="shared" si="107"/>
        <v>0</v>
      </c>
      <c r="J493" s="207">
        <f t="shared" si="116"/>
        <v>0</v>
      </c>
      <c r="K493" s="31"/>
      <c r="L493" s="31"/>
      <c r="M493" s="207">
        <f t="shared" si="112"/>
        <v>0</v>
      </c>
      <c r="N493" s="207">
        <f t="shared" si="113"/>
        <v>0</v>
      </c>
      <c r="O493" s="207">
        <f t="shared" si="117"/>
        <v>0</v>
      </c>
      <c r="P493" s="31"/>
      <c r="Q493" s="31"/>
      <c r="R493" s="207">
        <f t="shared" si="114"/>
        <v>0</v>
      </c>
      <c r="S493" s="207">
        <f t="shared" si="115"/>
        <v>0</v>
      </c>
      <c r="T493" s="207">
        <f t="shared" si="118"/>
        <v>0</v>
      </c>
      <c r="U493" s="39"/>
    </row>
    <row r="494" spans="1:21" x14ac:dyDescent="0.25">
      <c r="A494" s="31"/>
      <c r="B494" s="184">
        <f>+Investissements!B60</f>
        <v>0</v>
      </c>
      <c r="C494" s="246">
        <f>Investissements!C60</f>
        <v>0</v>
      </c>
      <c r="D494" s="223">
        <f>Investissements!D60</f>
        <v>0</v>
      </c>
      <c r="E494" s="223">
        <f>Investissements!E60</f>
        <v>0</v>
      </c>
      <c r="F494" s="220"/>
      <c r="G494" s="220"/>
      <c r="H494" s="220"/>
      <c r="I494" s="207">
        <f t="shared" si="107"/>
        <v>0</v>
      </c>
      <c r="J494" s="207">
        <f t="shared" si="116"/>
        <v>0</v>
      </c>
      <c r="K494" s="31"/>
      <c r="L494" s="31"/>
      <c r="M494" s="207">
        <f t="shared" si="112"/>
        <v>0</v>
      </c>
      <c r="N494" s="207">
        <f t="shared" si="113"/>
        <v>0</v>
      </c>
      <c r="O494" s="207">
        <f t="shared" si="117"/>
        <v>0</v>
      </c>
      <c r="P494" s="31"/>
      <c r="Q494" s="31"/>
      <c r="R494" s="207">
        <f t="shared" si="114"/>
        <v>0</v>
      </c>
      <c r="S494" s="207">
        <f t="shared" si="115"/>
        <v>0</v>
      </c>
      <c r="T494" s="207">
        <f t="shared" si="118"/>
        <v>0</v>
      </c>
      <c r="U494" s="39"/>
    </row>
    <row r="495" spans="1:21" x14ac:dyDescent="0.25">
      <c r="A495" s="31"/>
      <c r="B495" s="236" t="s">
        <v>20</v>
      </c>
      <c r="C495" s="237">
        <f>SUM(C490:C494)</f>
        <v>0</v>
      </c>
      <c r="D495" s="233"/>
      <c r="E495" s="233"/>
      <c r="F495" s="233"/>
      <c r="G495" s="233"/>
      <c r="H495" s="233"/>
      <c r="I495" s="238">
        <f t="shared" si="107"/>
        <v>0</v>
      </c>
      <c r="J495" s="238">
        <f t="shared" si="116"/>
        <v>0</v>
      </c>
      <c r="K495" s="31"/>
      <c r="L495" s="31"/>
      <c r="M495" s="238">
        <f t="shared" si="112"/>
        <v>0</v>
      </c>
      <c r="N495" s="238">
        <f t="shared" si="113"/>
        <v>0</v>
      </c>
      <c r="O495" s="238">
        <f t="shared" si="117"/>
        <v>0</v>
      </c>
      <c r="P495" s="31"/>
      <c r="Q495" s="31"/>
      <c r="R495" s="238">
        <f t="shared" si="114"/>
        <v>0</v>
      </c>
      <c r="S495" s="238">
        <f t="shared" si="115"/>
        <v>0</v>
      </c>
      <c r="T495" s="238">
        <f t="shared" si="118"/>
        <v>0</v>
      </c>
      <c r="U495" s="39"/>
    </row>
    <row r="496" spans="1:21" ht="21" customHeight="1" x14ac:dyDescent="0.25">
      <c r="A496" s="31"/>
      <c r="B496" s="225" t="s">
        <v>368</v>
      </c>
      <c r="C496" s="197">
        <f>C495+C488+C465</f>
        <v>0</v>
      </c>
      <c r="D496" s="226"/>
      <c r="E496" s="226"/>
      <c r="F496" s="226"/>
      <c r="G496" s="226"/>
      <c r="H496" s="226"/>
      <c r="I496" s="197">
        <f>I495+I488+I465</f>
        <v>0</v>
      </c>
      <c r="J496" s="197">
        <f>J495+J488+J465</f>
        <v>0</v>
      </c>
      <c r="K496" s="31"/>
      <c r="L496" s="31"/>
      <c r="M496" s="197">
        <f>M495+M488+M465</f>
        <v>0</v>
      </c>
      <c r="N496" s="197">
        <f t="shared" ref="N496:O496" si="119">N495+N488+N465</f>
        <v>0</v>
      </c>
      <c r="O496" s="197">
        <f t="shared" si="119"/>
        <v>0</v>
      </c>
      <c r="P496" s="31"/>
      <c r="Q496" s="31"/>
      <c r="R496" s="197">
        <f>R495+R488+R465</f>
        <v>0</v>
      </c>
      <c r="S496" s="197">
        <f>S495+S488+S465</f>
        <v>0</v>
      </c>
      <c r="T496" s="197">
        <f>T495+T488+T465</f>
        <v>0</v>
      </c>
      <c r="U496" s="39"/>
    </row>
    <row r="497" spans="1:2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S497" s="29"/>
      <c r="T497" s="29"/>
      <c r="U497" s="39"/>
    </row>
    <row r="498" spans="1:2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9"/>
    </row>
    <row r="499" spans="1:21" x14ac:dyDescent="0.25">
      <c r="A499" s="31"/>
      <c r="B499" s="31"/>
      <c r="C499" s="239" t="s">
        <v>146</v>
      </c>
      <c r="D499" s="239" t="s">
        <v>147</v>
      </c>
      <c r="E499" s="239" t="s">
        <v>148</v>
      </c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9"/>
    </row>
    <row r="500" spans="1:21" x14ac:dyDescent="0.25">
      <c r="A500" s="31"/>
      <c r="B500" s="240" t="s">
        <v>32</v>
      </c>
      <c r="C500" s="241"/>
      <c r="D500" s="241"/>
      <c r="E500" s="242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9"/>
    </row>
    <row r="501" spans="1:21" x14ac:dyDescent="0.25">
      <c r="A501" s="31"/>
      <c r="B501" s="117" t="s">
        <v>374</v>
      </c>
      <c r="C501" s="203">
        <f>SUMIF($D$455:$D$464,"Année 1",$C$455:$C$464)</f>
        <v>0</v>
      </c>
      <c r="D501" s="203">
        <f>SUMIF($D$455:$D$464,"Année 2",$C$455:$C$464)+C501</f>
        <v>0</v>
      </c>
      <c r="E501" s="203">
        <f>SUMIF($D$455:$D$464,"Année 3",$C$455:$C$464)+D501</f>
        <v>0</v>
      </c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9"/>
    </row>
    <row r="502" spans="1:21" x14ac:dyDescent="0.25">
      <c r="A502" s="31"/>
      <c r="B502" s="117" t="s">
        <v>372</v>
      </c>
      <c r="C502" s="203">
        <f>I465</f>
        <v>0</v>
      </c>
      <c r="D502" s="203">
        <f>M465</f>
        <v>0</v>
      </c>
      <c r="E502" s="203">
        <f>R465</f>
        <v>0</v>
      </c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9"/>
    </row>
    <row r="503" spans="1:21" x14ac:dyDescent="0.25">
      <c r="A503" s="31"/>
      <c r="B503" s="117" t="s">
        <v>373</v>
      </c>
      <c r="C503" s="203">
        <f>I465</f>
        <v>0</v>
      </c>
      <c r="D503" s="203">
        <f>N465</f>
        <v>0</v>
      </c>
      <c r="E503" s="203">
        <f>S465</f>
        <v>0</v>
      </c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9"/>
    </row>
    <row r="504" spans="1:21" x14ac:dyDescent="0.25">
      <c r="A504" s="31"/>
      <c r="B504" s="117" t="s">
        <v>79</v>
      </c>
      <c r="C504" s="203">
        <f>J465</f>
        <v>0</v>
      </c>
      <c r="D504" s="203">
        <f>O465</f>
        <v>0</v>
      </c>
      <c r="E504" s="203">
        <f>T465</f>
        <v>0</v>
      </c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9"/>
    </row>
    <row r="505" spans="1:21" x14ac:dyDescent="0.25">
      <c r="A505" s="31"/>
      <c r="B505" s="240" t="s">
        <v>33</v>
      </c>
      <c r="C505" s="241"/>
      <c r="D505" s="241"/>
      <c r="E505" s="242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9"/>
    </row>
    <row r="506" spans="1:21" x14ac:dyDescent="0.25">
      <c r="A506" s="31"/>
      <c r="B506" s="117" t="s">
        <v>374</v>
      </c>
      <c r="C506" s="203">
        <f>SUMIF($D$467:$D$487,"Année 1",$C$467:$C$487)</f>
        <v>0</v>
      </c>
      <c r="D506" s="203">
        <f>SUMIF($D$467:$D$487,"Année 2",$C$467:$C$487)+C506</f>
        <v>0</v>
      </c>
      <c r="E506" s="203">
        <f>SUMIF($D$467:$D$487,"Année 3",$C$467:$C$487)+D506</f>
        <v>0</v>
      </c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9"/>
    </row>
    <row r="507" spans="1:21" x14ac:dyDescent="0.25">
      <c r="A507" s="31"/>
      <c r="B507" s="117" t="s">
        <v>372</v>
      </c>
      <c r="C507" s="203">
        <f>I488</f>
        <v>0</v>
      </c>
      <c r="D507" s="203">
        <f>M488</f>
        <v>0</v>
      </c>
      <c r="E507" s="203">
        <f>R488</f>
        <v>0</v>
      </c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9"/>
    </row>
    <row r="508" spans="1:21" x14ac:dyDescent="0.25">
      <c r="A508" s="31"/>
      <c r="B508" s="117" t="s">
        <v>373</v>
      </c>
      <c r="C508" s="203">
        <f>I488</f>
        <v>0</v>
      </c>
      <c r="D508" s="203">
        <f>N488</f>
        <v>0</v>
      </c>
      <c r="E508" s="203">
        <f>S488</f>
        <v>0</v>
      </c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9"/>
    </row>
    <row r="509" spans="1:21" x14ac:dyDescent="0.25">
      <c r="A509" s="31"/>
      <c r="B509" s="117" t="s">
        <v>79</v>
      </c>
      <c r="C509" s="203">
        <f>J488</f>
        <v>0</v>
      </c>
      <c r="D509" s="203">
        <f>O488</f>
        <v>0</v>
      </c>
      <c r="E509" s="203">
        <f>T488</f>
        <v>0</v>
      </c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9"/>
    </row>
    <row r="510" spans="1:21" x14ac:dyDescent="0.25">
      <c r="A510" s="31"/>
      <c r="B510" s="240" t="s">
        <v>31</v>
      </c>
      <c r="C510" s="241"/>
      <c r="D510" s="241"/>
      <c r="E510" s="242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9"/>
    </row>
    <row r="511" spans="1:21" x14ac:dyDescent="0.25">
      <c r="A511" s="31"/>
      <c r="B511" s="117" t="s">
        <v>374</v>
      </c>
      <c r="C511" s="203">
        <f>SUMIF($D$490:$D$494,"Année 1",$C$490:$C$494)</f>
        <v>0</v>
      </c>
      <c r="D511" s="203">
        <f>SUMIF($D$490:$D$494,"Année 2",$C$490:$C$494)+C511</f>
        <v>0</v>
      </c>
      <c r="E511" s="203">
        <f>SUMIF($D$490:$D$494,"Année 3",$C$490:$C$494)+D511</f>
        <v>0</v>
      </c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9"/>
    </row>
    <row r="512" spans="1:21" x14ac:dyDescent="0.25">
      <c r="A512" s="31"/>
      <c r="B512" s="117" t="s">
        <v>372</v>
      </c>
      <c r="C512" s="203">
        <f>I495</f>
        <v>0</v>
      </c>
      <c r="D512" s="203">
        <f>M495</f>
        <v>0</v>
      </c>
      <c r="E512" s="203">
        <f>R495</f>
        <v>0</v>
      </c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9"/>
    </row>
    <row r="513" spans="1:22" x14ac:dyDescent="0.25">
      <c r="A513" s="31"/>
      <c r="B513" s="117" t="s">
        <v>373</v>
      </c>
      <c r="C513" s="203">
        <f>I495</f>
        <v>0</v>
      </c>
      <c r="D513" s="203">
        <f>N495</f>
        <v>0</v>
      </c>
      <c r="E513" s="203">
        <f>S495</f>
        <v>0</v>
      </c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9"/>
    </row>
    <row r="514" spans="1:22" x14ac:dyDescent="0.25">
      <c r="A514" s="31"/>
      <c r="B514" s="117" t="s">
        <v>79</v>
      </c>
      <c r="C514" s="203">
        <f>J495</f>
        <v>0</v>
      </c>
      <c r="D514" s="203">
        <f>O495</f>
        <v>0</v>
      </c>
      <c r="E514" s="203">
        <f>T495</f>
        <v>0</v>
      </c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9"/>
    </row>
    <row r="515" spans="1:22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9"/>
    </row>
    <row r="516" spans="1:22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9"/>
    </row>
    <row r="517" spans="1:22" x14ac:dyDescent="0.25">
      <c r="A517" s="31"/>
      <c r="B517" s="29"/>
      <c r="C517" s="408" t="s">
        <v>353</v>
      </c>
      <c r="D517" s="408" t="s">
        <v>377</v>
      </c>
      <c r="E517" s="408" t="s">
        <v>5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9"/>
    </row>
    <row r="518" spans="1:22" ht="18.75" x14ac:dyDescent="0.25">
      <c r="A518" s="38"/>
      <c r="B518" s="29"/>
      <c r="C518" s="408"/>
      <c r="D518" s="408"/>
      <c r="E518" s="408"/>
      <c r="F518" s="31"/>
      <c r="G518" s="45" t="s">
        <v>146</v>
      </c>
      <c r="H518" s="46" t="s">
        <v>149</v>
      </c>
      <c r="I518" s="46" t="s">
        <v>150</v>
      </c>
      <c r="J518" s="46" t="s">
        <v>151</v>
      </c>
      <c r="K518" s="46" t="s">
        <v>152</v>
      </c>
      <c r="L518" s="46" t="s">
        <v>153</v>
      </c>
      <c r="M518" s="46" t="s">
        <v>154</v>
      </c>
      <c r="N518" s="46" t="s">
        <v>155</v>
      </c>
      <c r="O518" s="46" t="s">
        <v>156</v>
      </c>
      <c r="P518" s="46" t="s">
        <v>157</v>
      </c>
      <c r="Q518" s="46" t="s">
        <v>158</v>
      </c>
      <c r="R518" s="46" t="s">
        <v>159</v>
      </c>
      <c r="S518" s="46" t="s">
        <v>160</v>
      </c>
      <c r="T518" s="46" t="s">
        <v>240</v>
      </c>
      <c r="U518" s="181" t="s">
        <v>204</v>
      </c>
      <c r="V518" s="39"/>
    </row>
    <row r="519" spans="1:22" x14ac:dyDescent="0.25">
      <c r="A519" s="38"/>
      <c r="B519" s="210" t="s">
        <v>364</v>
      </c>
      <c r="C519" s="211"/>
      <c r="D519" s="211"/>
      <c r="E519" s="212"/>
      <c r="F519" s="31"/>
      <c r="G519" s="33" t="s">
        <v>376</v>
      </c>
      <c r="H519" s="54">
        <f>SUMIFS('Calcul prévi'!$D$520:$D$529,'Calcul prévi'!$D$455:$D$464,"Année 1",'Calcul prévi'!$E$455:$E$464,"Mois 1")+SUMIFS($D$532:$D$552,$D$467:$D$487,"Année 1",$E$467:$E$487,"Mois 1")+SUMIFS($D$555:$D$559,$D$490:$D$494,"Année 1",$E$490:$E$494,"Mois 1")</f>
        <v>0</v>
      </c>
      <c r="I519" s="54">
        <f>SUMIFS('Calcul prévi'!$D$520:$D$529,'Calcul prévi'!$D$455:$D$464,"Année 1",'Calcul prévi'!$E$455:$E$464,"Mois 2")+SUMIFS($D$532:$D$552,$D$467:$D$487,"Année 1",$E$467:$E$487,"Mois 2")+SUMIFS($D$555:$D$559,$D$490:$D$494,"Année 1",$E$490:$E$494,"Mois 2")</f>
        <v>0</v>
      </c>
      <c r="J519" s="54">
        <f>SUMIFS('Calcul prévi'!$D$520:$D$529,'Calcul prévi'!$D$455:$D$464,"Année 1",'Calcul prévi'!$E$455:$E$464,"Mois 3")+SUMIFS($D$532:$D$552,$D$467:$D$487,"Année 1",$E$467:$E$487,"Mois 3")+SUMIFS($D$555:$D$559,$D$490:$D$494,"Année 1",$E$490:$E$494,"Mois 3")</f>
        <v>0</v>
      </c>
      <c r="K519" s="54">
        <f>SUMIFS('Calcul prévi'!$D$520:$D$529,'Calcul prévi'!$D$455:$D$464,"Année 1",'Calcul prévi'!$E$455:$E$464,"Mois 4")+SUMIFS($D$532:$D$552,$D$467:$D$487,"Année 1",$E$467:$E$487,"Mois 4")+SUMIFS($D$555:$D$559,$D$490:$D$494,"Année 1",$E$490:$E$494,"Mois 4")</f>
        <v>0</v>
      </c>
      <c r="L519" s="54">
        <f>SUMIFS('Calcul prévi'!$D$520:$D$529,'Calcul prévi'!$D$455:$D$464,"Année 1",'Calcul prévi'!$E$455:$E$464,"Mois 5")+SUMIFS($D$532:$D$552,$D$467:$D$487,"Année 1",$E$467:$E$487,"Mois 5")+SUMIFS($D$555:$D$559,$D$490:$D$494,"Année 1",$E$490:$E$494,"Mois 5")</f>
        <v>0</v>
      </c>
      <c r="M519" s="54">
        <f>SUMIFS('Calcul prévi'!$D$520:$D$529,'Calcul prévi'!$D$455:$D$464,"Année 1",'Calcul prévi'!$E$455:$E$464,"Mois 6")+SUMIFS($D$532:$D$552,$D$467:$D$487,"Année 1",$E$467:$E$487,"Mois 6")+SUMIFS($D$555:$D$559,$D$490:$D$494,"Année 1",$E$490:$E$494,"Mois 6")</f>
        <v>0</v>
      </c>
      <c r="N519" s="54">
        <f>SUMIFS('Calcul prévi'!$D$520:$D$529,'Calcul prévi'!$D$455:$D$464,"Année 1",'Calcul prévi'!$E$455:$E$464,"Mois 7")+SUMIFS($D$532:$D$552,$D$467:$D$487,"Année 1",$E$467:$E$487,"Mois 7")+SUMIFS($D$555:$D$559,$D$490:$D$494,"Année 1",$E$490:$E$494,"Mois 7")</f>
        <v>0</v>
      </c>
      <c r="O519" s="54">
        <f>SUMIFS('Calcul prévi'!$D$520:$D$529,'Calcul prévi'!$D$455:$D$464,"Année 1",'Calcul prévi'!$E$455:$E$464,"Mois 8")+SUMIFS($D$532:$D$552,$D$467:$D$487,"Année 1",$E$467:$E$487,"Mois 8")+SUMIFS($D$555:$D$559,$D$490:$D$494,"Année 1",$E$490:$E$494,"Mois 8")</f>
        <v>0</v>
      </c>
      <c r="P519" s="54">
        <f>SUMIFS('Calcul prévi'!$D$520:$D$529,'Calcul prévi'!$D$455:$D$464,"Année 1",'Calcul prévi'!$E$455:$E$464,"Mois 9")+SUMIFS($D$532:$D$552,$D$467:$D$487,"Année 1",$E$467:$E$487,"Mois 9")+SUMIFS($D$555:$D$559,$D$490:$D$494,"Année 1",$E$490:$E$494,"Mois 9")</f>
        <v>0</v>
      </c>
      <c r="Q519" s="54">
        <f>SUMIFS('Calcul prévi'!$D$520:$D$529,'Calcul prévi'!$D$455:$D$464,"Année 1",'Calcul prévi'!$E$455:$E$464,"Mois 10")+SUMIFS($D$532:$D$552,$D$467:$D$487,"Année 1",$E$467:$E$487,"Mois 10")+SUMIFS($D$555:$D$559,$D$490:$D$494,"Année 1",$E$490:$E$494,"Mois 10")</f>
        <v>0</v>
      </c>
      <c r="R519" s="54">
        <f>SUMIFS('Calcul prévi'!$D$520:$D$529,'Calcul prévi'!$D$455:$D$464,"Année 1",'Calcul prévi'!$E$455:$E$464,"Mois 11")+SUMIFS($D$532:$D$552,$D$467:$D$487,"Année 1",$E$467:$E$487,"Mois 11")+SUMIFS($D$555:$D$559,$D$490:$D$494,"Année 1",$E$490:$E$494,"Mois 11")</f>
        <v>0</v>
      </c>
      <c r="S519" s="54">
        <f>SUMIFS('Calcul prévi'!$D$520:$D$529,'Calcul prévi'!$D$455:$D$464,"Année 1",'Calcul prévi'!$E$455:$E$464,"Mois 12")+SUMIFS($D$532:$D$552,$D$467:$D$487,"Année 1",$E$467:$E$487,"Mois 12")+SUMIFS($D$555:$D$559,$D$490:$D$494,"Année 1",$E$490:$E$494,"Mois 12")</f>
        <v>0</v>
      </c>
      <c r="T519" s="54">
        <f>SUM(H519:S519)</f>
        <v>0</v>
      </c>
      <c r="U519" s="78"/>
      <c r="V519" s="39"/>
    </row>
    <row r="520" spans="1:22" x14ac:dyDescent="0.25">
      <c r="A520" s="38"/>
      <c r="B520" s="251">
        <f>Investissements!B84</f>
        <v>0</v>
      </c>
      <c r="C520" s="214">
        <f>C455</f>
        <v>0</v>
      </c>
      <c r="D520" s="229">
        <f>+C520*(1+Investissements!G21)</f>
        <v>0</v>
      </c>
      <c r="E520" s="120">
        <f>+D520-C520</f>
        <v>0</v>
      </c>
      <c r="F520" s="31"/>
      <c r="G520" s="33" t="s">
        <v>378</v>
      </c>
      <c r="H520" s="54">
        <f>IF(Caractéristiques!$C$43=0,H519,IF(Caractéristiques!$C$43=30,0,IF(Caractéristiques!$C$43=60,0,IF(Caractéristiques!$C$43=90,0,"erreur"))))</f>
        <v>0</v>
      </c>
      <c r="I520" s="54">
        <f>IF(Caractéristiques!$C$43=0,I519,IF(Caractéristiques!$C$43=30,H519,IF(Caractéristiques!$C$43=60,0,IF(Caractéristiques!$C$43=90,0,"erreur"))))</f>
        <v>0</v>
      </c>
      <c r="J520" s="54">
        <f>IF(Caractéristiques!$C$43=0,J519,IF(Caractéristiques!$C$43=30,I519,IF(Caractéristiques!$C$43=60,H519,IF(Caractéristiques!$C$43=90,0,"erreur"))))</f>
        <v>0</v>
      </c>
      <c r="K520" s="54">
        <f>IF(Caractéristiques!$C$43=0,K519,IF(Caractéristiques!$C$43=30,J519,IF(Caractéristiques!$C$43=60,I519,IF(Caractéristiques!$C$43=90,H519,"erreur"))))</f>
        <v>0</v>
      </c>
      <c r="L520" s="54">
        <f>IF(Caractéristiques!$C$43=0,L519,IF(Caractéristiques!$C$43=30,K519,IF(Caractéristiques!$C$43=60,J519,IF(Caractéristiques!$C$43=90,I519,"erreur"))))</f>
        <v>0</v>
      </c>
      <c r="M520" s="54">
        <f>IF(Caractéristiques!$C$43=0,M519,IF(Caractéristiques!$C$43=30,L519,IF(Caractéristiques!$C$43=60,K519,IF(Caractéristiques!$C$43=90,J519,"erreur"))))</f>
        <v>0</v>
      </c>
      <c r="N520" s="54">
        <f>IF(Caractéristiques!$C$43=0,N519,IF(Caractéristiques!$C$43=30,M519,IF(Caractéristiques!$C$43=60,L519,IF(Caractéristiques!$C$43=90,K519,"erreur"))))</f>
        <v>0</v>
      </c>
      <c r="O520" s="54">
        <f>IF(Caractéristiques!$C$43=0,O519,IF(Caractéristiques!$C$43=30,N519,IF(Caractéristiques!$C$43=60,M519,IF(Caractéristiques!$C$43=90,L519,"erreur"))))</f>
        <v>0</v>
      </c>
      <c r="P520" s="54">
        <f>IF(Caractéristiques!$C$43=0,P519,IF(Caractéristiques!$C$43=30,O519,IF(Caractéristiques!$C$43=60,N519,IF(Caractéristiques!$C$43=90,M519,"erreur"))))</f>
        <v>0</v>
      </c>
      <c r="Q520" s="54">
        <f>IF(Caractéristiques!$C$43=0,Q519,IF(Caractéristiques!$C$43=30,P519,IF(Caractéristiques!$C$43=60,O519,IF(Caractéristiques!$C$43=90,N519,"erreur"))))</f>
        <v>0</v>
      </c>
      <c r="R520" s="54">
        <f>IF(Caractéristiques!$C$43=0,R519,IF(Caractéristiques!$C$43=30,Q519,IF(Caractéristiques!$C$43=60,P519,IF(Caractéristiques!$C$43=90,O519,"erreur"))))</f>
        <v>0</v>
      </c>
      <c r="S520" s="54">
        <f>IF(Caractéristiques!$C$43=0,S519,IF(Caractéristiques!$C$43=30,R519,IF(Caractéristiques!$C$43=60,Q519,IF(Caractéristiques!$C$43=90,P519,"erreur"))))</f>
        <v>0</v>
      </c>
      <c r="T520" s="54">
        <f>SUM(H520:S520)</f>
        <v>0</v>
      </c>
      <c r="U520" s="78">
        <f>IF(Caractéristiques!$C$43=0,0,IF(Caractéristiques!$C$43=30,S519,IF(Caractéristiques!$C$43=60,(S519+R519),IF(Caractéristiques!$C$43=90,(S519+R519+Q519),"erreur"))))</f>
        <v>0</v>
      </c>
      <c r="V520" s="39"/>
    </row>
    <row r="521" spans="1:22" x14ac:dyDescent="0.25">
      <c r="A521" s="38"/>
      <c r="B521" s="204">
        <f>Investissements!B85</f>
        <v>0</v>
      </c>
      <c r="C521" s="214">
        <f t="shared" ref="C521:C529" si="120">C456</f>
        <v>0</v>
      </c>
      <c r="D521" s="229">
        <f>+C521*(1+Investissements!G22)</f>
        <v>0</v>
      </c>
      <c r="E521" s="120">
        <f t="shared" ref="E521:E559" si="121">+D521-C521</f>
        <v>0</v>
      </c>
      <c r="F521" s="31"/>
      <c r="G521" s="33" t="s">
        <v>380</v>
      </c>
      <c r="H521" s="203">
        <f>SUMIFS('Calcul prévi'!$E$520:$E$529,'Calcul prévi'!$D$455:$D$464,"Année 1",'Calcul prévi'!$E$455:$E$464,"Mois 1")+SUMIFS($E$532:$E$552,$D$467:$D$487,"Année 1",$E$467:$E$487,"Mois 1")</f>
        <v>0</v>
      </c>
      <c r="I521" s="54">
        <f>SUMIFS('Calcul prévi'!$E$520:$E$529,'Calcul prévi'!$D$455:$D$464,"Année 1",'Calcul prévi'!$E$455:$E$464,"Mois 2")+SUMIFS($E$532:$E$552,$D$467:$D$487,"Année 1",$E$467:$E$487,"Mois 2")</f>
        <v>0</v>
      </c>
      <c r="J521" s="54">
        <f>SUMIFS('Calcul prévi'!$E$520:$E$529,'Calcul prévi'!$D$455:$D$464,"Année 1",'Calcul prévi'!$E$455:$E$464,"Mois 3")+SUMIFS($E$532:$E$552,$D$467:$D$487,"Année 1",$E$467:$E$487,"Mois 3")</f>
        <v>0</v>
      </c>
      <c r="K521" s="54">
        <f>SUMIFS('Calcul prévi'!$E$520:$E$529,'Calcul prévi'!$D$455:$D$464,"Année 1",'Calcul prévi'!$E$455:$E$464,"Mois 4")+SUMIFS($E$532:$E$552,$D$467:$D$487,"Année 1",$E$467:$E$487,"Mois 4")</f>
        <v>0</v>
      </c>
      <c r="L521" s="54">
        <f>SUMIFS('Calcul prévi'!$E$520:$E$529,'Calcul prévi'!$D$455:$D$464,"Année 1",'Calcul prévi'!$E$455:$E$464,"Mois 5")+SUMIFS($E$532:$E$552,$D$467:$D$487,"Année 1",$E$467:$E$487,"Mois 5")</f>
        <v>0</v>
      </c>
      <c r="M521" s="54">
        <f>SUMIFS('Calcul prévi'!$E$520:$E$529,'Calcul prévi'!$D$455:$D$464,"Année 1",'Calcul prévi'!$E$455:$E$464,"Mois 6")+SUMIFS($E$532:$E$552,$D$467:$D$487,"Année 1",$E$467:$E$487,"Mois 6")</f>
        <v>0</v>
      </c>
      <c r="N521" s="54">
        <f>SUMIFS('Calcul prévi'!$E$520:$E$529,'Calcul prévi'!$D$455:$D$464,"Année 1",'Calcul prévi'!$E$455:$E$464,"Mois 7")+SUMIFS($E$532:$E$552,$D$467:$D$487,"Année 1",$E$467:$E$487,"Mois 7")</f>
        <v>0</v>
      </c>
      <c r="O521" s="54">
        <f>SUMIFS('Calcul prévi'!$E$520:$E$529,'Calcul prévi'!$D$455:$D$464,"Année 1",'Calcul prévi'!$E$455:$E$464,"Mois 8")+SUMIFS($E$532:$E$552,$D$467:$D$487,"Année 1",$E$467:$E$487,"Mois 8")</f>
        <v>0</v>
      </c>
      <c r="P521" s="54">
        <f>SUMIFS('Calcul prévi'!$E$520:$E$529,'Calcul prévi'!$D$455:$D$464,"Année 1",'Calcul prévi'!$E$455:$E$464,"Mois 9")+SUMIFS($E$532:$E$552,$D$467:$D$487,"Année 1",$E$467:$E$487,"Mois 9")</f>
        <v>0</v>
      </c>
      <c r="Q521" s="54">
        <f>SUMIFS('Calcul prévi'!$E$520:$E$529,'Calcul prévi'!$D$455:$D$464,"Année 1",'Calcul prévi'!$E$455:$E$464,"Mois 10")+SUMIFS($E$532:$E$552,$D$467:$D$487,"Année 1",$E$467:$E$487,"Mois 10")</f>
        <v>0</v>
      </c>
      <c r="R521" s="54">
        <f>SUMIFS('Calcul prévi'!$E$520:$E$529,'Calcul prévi'!$D$455:$D$464,"Année 1",'Calcul prévi'!$E$455:$E$464,"Mois 11")+SUMIFS($E$532:$E$552,$D$467:$D$487,"Année 1",$E$467:$E$487,"Mois 11")</f>
        <v>0</v>
      </c>
      <c r="S521" s="54">
        <f>SUMIFS('Calcul prévi'!$E$520:$E$529,'Calcul prévi'!$D$455:$D$464,"Année 1",'Calcul prévi'!$E$455:$E$464,"Mois 12")+SUMIFS($E$532:$E$552,$D$467:$D$487,"Année 1",$E$467:$E$487,"Mois 12")</f>
        <v>0</v>
      </c>
      <c r="T521" s="117"/>
      <c r="U521" s="117"/>
      <c r="V521" s="39"/>
    </row>
    <row r="522" spans="1:22" ht="18.75" x14ac:dyDescent="0.25">
      <c r="A522" s="38"/>
      <c r="B522" s="204">
        <f>Investissements!B86</f>
        <v>0</v>
      </c>
      <c r="C522" s="214">
        <f t="shared" si="120"/>
        <v>0</v>
      </c>
      <c r="D522" s="229">
        <f>+C522*(1+Investissements!G23)</f>
        <v>0</v>
      </c>
      <c r="E522" s="120">
        <f t="shared" si="121"/>
        <v>0</v>
      </c>
      <c r="F522" s="31"/>
      <c r="G522" s="45" t="s">
        <v>147</v>
      </c>
      <c r="H522" s="46" t="s">
        <v>149</v>
      </c>
      <c r="I522" s="46" t="s">
        <v>150</v>
      </c>
      <c r="J522" s="46" t="s">
        <v>151</v>
      </c>
      <c r="K522" s="46" t="s">
        <v>152</v>
      </c>
      <c r="L522" s="46" t="s">
        <v>153</v>
      </c>
      <c r="M522" s="46" t="s">
        <v>154</v>
      </c>
      <c r="N522" s="46" t="s">
        <v>155</v>
      </c>
      <c r="O522" s="46" t="s">
        <v>156</v>
      </c>
      <c r="P522" s="46" t="s">
        <v>157</v>
      </c>
      <c r="Q522" s="46" t="s">
        <v>158</v>
      </c>
      <c r="R522" s="46" t="s">
        <v>159</v>
      </c>
      <c r="S522" s="46" t="s">
        <v>160</v>
      </c>
      <c r="T522" s="46" t="s">
        <v>240</v>
      </c>
      <c r="U522" s="181" t="s">
        <v>204</v>
      </c>
      <c r="V522" s="39"/>
    </row>
    <row r="523" spans="1:22" x14ac:dyDescent="0.25">
      <c r="A523" s="38"/>
      <c r="B523" s="204">
        <f>Investissements!B87</f>
        <v>0</v>
      </c>
      <c r="C523" s="214">
        <f t="shared" si="120"/>
        <v>0</v>
      </c>
      <c r="D523" s="229">
        <f>+C523*(1+Investissements!G24)</f>
        <v>0</v>
      </c>
      <c r="E523" s="120">
        <f t="shared" si="121"/>
        <v>0</v>
      </c>
      <c r="F523" s="31"/>
      <c r="G523" s="33" t="s">
        <v>376</v>
      </c>
      <c r="H523" s="54">
        <f>SUMIFS('Calcul prévi'!$D$520:$D$529,'Calcul prévi'!$D$455:$D$464,"Année 2",'Calcul prévi'!$E$455:$E$464,"Mois 1")+SUMIFS($D$532:$D$552,$D$467:$D$487,"Année 2",$E$467:$E$487,"Mois 1")+SUMIFS($D$555:$D$559,$D$490:$D$494,"Année 2",$E$490:$E$494,"Mois 1")</f>
        <v>0</v>
      </c>
      <c r="I523" s="54">
        <f>SUMIFS('Calcul prévi'!$D$520:$D$529,'Calcul prévi'!$D$455:$D$464,"Année 2",'Calcul prévi'!$E$455:$E$464,"Mois 2")+SUMIFS($D$532:$D$552,$D$467:$D$487,"Année 2",$E$467:$E$487,"Mois 2")+SUMIFS($D$555:$D$559,$D$490:$D$494,"Année 2",$E$490:$E$494,"Mois 2")</f>
        <v>0</v>
      </c>
      <c r="J523" s="54">
        <f>SUMIFS('Calcul prévi'!$D$520:$D$529,'Calcul prévi'!$D$455:$D$464,"Année 2",'Calcul prévi'!$E$455:$E$464,"Mois 3")+SUMIFS($D$532:$D$552,$D$467:$D$487,"Année 2",$E$467:$E$487,"Mois 3")+SUMIFS($D$555:$D$559,$D$490:$D$494,"Année 2",$E$490:$E$494,"Mois 3")</f>
        <v>0</v>
      </c>
      <c r="K523" s="54">
        <f>SUMIFS('Calcul prévi'!$D$520:$D$529,'Calcul prévi'!$D$455:$D$464,"Année 2",'Calcul prévi'!$E$455:$E$464,"Mois 4")+SUMIFS($D$532:$D$552,$D$467:$D$487,"Année 2",$E$467:$E$487,"Mois 4")+SUMIFS($D$555:$D$559,$D$490:$D$494,"Année 2",$E$490:$E$494,"Mois 4")</f>
        <v>0</v>
      </c>
      <c r="L523" s="54">
        <f>SUMIFS('Calcul prévi'!$D$520:$D$529,'Calcul prévi'!$D$455:$D$464,"Année 2",'Calcul prévi'!$E$455:$E$464,"Mois 5")+SUMIFS($D$532:$D$552,$D$467:$D$487,"Année 2",$E$467:$E$487,"Mois 5")+SUMIFS($D$555:$D$559,$D$490:$D$494,"Année 2",$E$490:$E$494,"Mois 5")</f>
        <v>0</v>
      </c>
      <c r="M523" s="54">
        <f>SUMIFS('Calcul prévi'!$D$520:$D$529,'Calcul prévi'!$D$455:$D$464,"Année 2",'Calcul prévi'!$E$455:$E$464,"Mois 6")+SUMIFS($D$532:$D$552,$D$467:$D$487,"Année 2",$E$467:$E$487,"Mois 6")+SUMIFS($D$555:$D$559,$D$490:$D$494,"Année 2",$E$490:$E$494,"Mois 6")</f>
        <v>0</v>
      </c>
      <c r="N523" s="54">
        <f>SUMIFS('Calcul prévi'!$D$520:$D$529,'Calcul prévi'!$D$455:$D$464,"Année 2",'Calcul prévi'!$E$455:$E$464,"Mois 7")+SUMIFS($D$532:$D$552,$D$467:$D$487,"Année 2",$E$467:$E$487,"Mois 7")+SUMIFS($D$555:$D$559,$D$490:$D$494,"Année 2",$E$490:$E$494,"Mois 7")</f>
        <v>0</v>
      </c>
      <c r="O523" s="54">
        <f>SUMIFS('Calcul prévi'!$D$520:$D$529,'Calcul prévi'!$D$455:$D$464,"Année 2",'Calcul prévi'!$E$455:$E$464,"Mois 8")+SUMIFS($D$532:$D$552,$D$467:$D$487,"Année 2",$E$467:$E$487,"Mois 8")+SUMIFS($D$555:$D$559,$D$490:$D$494,"Année 2",$E$490:$E$494,"Mois 8")</f>
        <v>0</v>
      </c>
      <c r="P523" s="54">
        <f>SUMIFS('Calcul prévi'!$D$520:$D$529,'Calcul prévi'!$D$455:$D$464,"Année 2",'Calcul prévi'!$E$455:$E$464,"Mois 9")+SUMIFS($D$532:$D$552,$D$467:$D$487,"Année 2",$E$467:$E$487,"Mois 9")+SUMIFS($D$555:$D$559,$D$490:$D$494,"Année 2",$E$490:$E$494,"Mois 9")</f>
        <v>0</v>
      </c>
      <c r="Q523" s="54">
        <f>SUMIFS('Calcul prévi'!$D$520:$D$529,'Calcul prévi'!$D$455:$D$464,"Année 2",'Calcul prévi'!$E$455:$E$464,"Mois 10")+SUMIFS($D$532:$D$552,$D$467:$D$487,"Année 2",$E$467:$E$487,"Mois 10")+SUMIFS($D$555:$D$559,$D$490:$D$494,"Année 2",$E$490:$E$494,"Mois 10")</f>
        <v>0</v>
      </c>
      <c r="R523" s="54">
        <f>SUMIFS('Calcul prévi'!$D$520:$D$529,'Calcul prévi'!$D$455:$D$464,"Année 2",'Calcul prévi'!$E$455:$E$464,"Mois 11")+SUMIFS($D$532:$D$552,$D$467:$D$487,"Année 2",$E$467:$E$487,"Mois 11")+SUMIFS($D$555:$D$559,$D$490:$D$494,"Année 2",$E$490:$E$494,"Mois 11")</f>
        <v>0</v>
      </c>
      <c r="S523" s="54">
        <f>SUMIFS('Calcul prévi'!$D$520:$D$529,'Calcul prévi'!$D$455:$D$464,"Année 2",'Calcul prévi'!$E$455:$E$464,"Mois 12")+SUMIFS($D$532:$D$552,$D$467:$D$487,"Année 2",$E$467:$E$487,"Mois 12")+SUMIFS($D$555:$D$559,$D$490:$D$494,"Année 2",$E$490:$E$494,"Mois 12")</f>
        <v>0</v>
      </c>
      <c r="T523" s="54">
        <f>SUM(H523:S523)</f>
        <v>0</v>
      </c>
      <c r="U523" s="78"/>
      <c r="V523" s="39"/>
    </row>
    <row r="524" spans="1:22" x14ac:dyDescent="0.25">
      <c r="A524" s="38"/>
      <c r="B524" s="204">
        <f>Investissements!B88</f>
        <v>0</v>
      </c>
      <c r="C524" s="214">
        <f t="shared" si="120"/>
        <v>0</v>
      </c>
      <c r="D524" s="229">
        <f>+C524*(1+Investissements!G25)</f>
        <v>0</v>
      </c>
      <c r="E524" s="120">
        <f t="shared" si="121"/>
        <v>0</v>
      </c>
      <c r="F524" s="31"/>
      <c r="G524" s="33" t="s">
        <v>378</v>
      </c>
      <c r="H524" s="54">
        <f>IF(Caractéristiques!$C$43=0,H523,IF(Caractéristiques!$C$43=30,S519,IF(Caractéristiques!$C$43=60,R519,IF(Caractéristiques!$C$43=90,Q519,"erreur"))))</f>
        <v>0</v>
      </c>
      <c r="I524" s="54">
        <f>IF(Caractéristiques!$C$43=0,I523,IF(Caractéristiques!$C$43=30,H523,IF(Caractéristiques!$C$43=60,S519,IF(Caractéristiques!$C$43=90,R519,"erreur"))))</f>
        <v>0</v>
      </c>
      <c r="J524" s="54">
        <f>IF(Caractéristiques!$C$43=0,J523,IF(Caractéristiques!$C$43=30,I523,IF(Caractéristiques!$C$43=60,H523,IF(Caractéristiques!$C$43=90,S519,"erreur"))))</f>
        <v>0</v>
      </c>
      <c r="K524" s="54">
        <f>IF(Caractéristiques!$C$43=0,K523,IF(Caractéristiques!$C$43=30,J523,IF(Caractéristiques!$C$43=60,I523,IF(Caractéristiques!$C$43=90,H523,"erreur"))))</f>
        <v>0</v>
      </c>
      <c r="L524" s="54">
        <f>IF(Caractéristiques!$C$43=0,L523,IF(Caractéristiques!$C$43=30,K523,IF(Caractéristiques!$C$43=60,J523,IF(Caractéristiques!$C$43=90,I523,"erreur"))))</f>
        <v>0</v>
      </c>
      <c r="M524" s="54">
        <f>IF(Caractéristiques!$C$43=0,M523,IF(Caractéristiques!$C$43=30,L523,IF(Caractéristiques!$C$43=60,K523,IF(Caractéristiques!$C$43=90,J523,"erreur"))))</f>
        <v>0</v>
      </c>
      <c r="N524" s="54">
        <f>IF(Caractéristiques!$C$43=0,N523,IF(Caractéristiques!$C$43=30,M523,IF(Caractéristiques!$C$43=60,L523,IF(Caractéristiques!$C$43=90,K523,"erreur"))))</f>
        <v>0</v>
      </c>
      <c r="O524" s="54">
        <f>IF(Caractéristiques!$C$43=0,O523,IF(Caractéristiques!$C$43=30,N523,IF(Caractéristiques!$C$43=60,M523,IF(Caractéristiques!$C$43=90,L523,"erreur"))))</f>
        <v>0</v>
      </c>
      <c r="P524" s="54">
        <f>IF(Caractéristiques!$C$43=0,P523,IF(Caractéristiques!$C$43=30,O523,IF(Caractéristiques!$C$43=60,N523,IF(Caractéristiques!$C$43=90,M523,"erreur"))))</f>
        <v>0</v>
      </c>
      <c r="Q524" s="54">
        <f>IF(Caractéristiques!$C$43=0,Q523,IF(Caractéristiques!$C$43=30,P523,IF(Caractéristiques!$C$43=60,O523,IF(Caractéristiques!$C$43=90,N523,"erreur"))))</f>
        <v>0</v>
      </c>
      <c r="R524" s="54">
        <f>IF(Caractéristiques!$C$43=0,R523,IF(Caractéristiques!$C$43=30,Q523,IF(Caractéristiques!$C$43=60,P523,IF(Caractéristiques!$C$43=90,O523,"erreur"))))</f>
        <v>0</v>
      </c>
      <c r="S524" s="54">
        <f>IF(Caractéristiques!$C$43=0,S523,IF(Caractéristiques!$C$43=30,R523,IF(Caractéristiques!$C$43=60,Q523,IF(Caractéristiques!$C$43=90,P523,"erreur"))))</f>
        <v>0</v>
      </c>
      <c r="T524" s="54">
        <f>SUM(H524:S524)</f>
        <v>0</v>
      </c>
      <c r="U524" s="78">
        <f>IF(Caractéristiques!$C$43=0,0,IF(Caractéristiques!$C$43=30,S523,IF(Caractéristiques!$C$43=60,(S523+R523),IF(Caractéristiques!$C$43=90,(S523+R523+Q523),"erreur"))))</f>
        <v>0</v>
      </c>
      <c r="V524" s="39"/>
    </row>
    <row r="525" spans="1:22" x14ac:dyDescent="0.25">
      <c r="A525" s="38"/>
      <c r="B525" s="204">
        <f>Investissements!B89</f>
        <v>0</v>
      </c>
      <c r="C525" s="214">
        <f t="shared" si="120"/>
        <v>0</v>
      </c>
      <c r="D525" s="229">
        <f>+C525*(1+Investissements!G26)</f>
        <v>0</v>
      </c>
      <c r="E525" s="120">
        <f t="shared" si="121"/>
        <v>0</v>
      </c>
      <c r="F525" s="31"/>
      <c r="G525" s="33" t="s">
        <v>380</v>
      </c>
      <c r="H525" s="203">
        <f>SUMIFS('Calcul prévi'!$E$520:$E$529,'Calcul prévi'!$D$455:$D$464,"Année 2",'Calcul prévi'!$E$455:$E$464,"Mois 1")+SUMIFS($E$532:$E$552,$D$467:$D$487,"Année 2",$E$467:$E$487,"Mois 1")</f>
        <v>0</v>
      </c>
      <c r="I525" s="54">
        <f>SUMIFS('Calcul prévi'!$E$520:$E$529,'Calcul prévi'!$D$455:$D$464,"Année 2",'Calcul prévi'!$E$455:$E$464,"Mois 2")+SUMIFS($E$532:$E$552,$D$467:$D$487,"Année 2",$E$467:$E$487,"Mois 2")</f>
        <v>0</v>
      </c>
      <c r="J525" s="54">
        <f>SUMIFS('Calcul prévi'!$E$520:$E$529,'Calcul prévi'!$D$455:$D$464,"Année 2",'Calcul prévi'!$E$455:$E$464,"Mois 3")+SUMIFS($E$532:$E$552,$D$467:$D$487,"Année 2",$E$467:$E$487,"Mois 3")</f>
        <v>0</v>
      </c>
      <c r="K525" s="54">
        <f>SUMIFS('Calcul prévi'!$E$520:$E$529,'Calcul prévi'!$D$455:$D$464,"Année 2",'Calcul prévi'!$E$455:$E$464,"Mois 4")+SUMIFS($E$532:$E$552,$D$467:$D$487,"Année 2",$E$467:$E$487,"Mois 4")</f>
        <v>0</v>
      </c>
      <c r="L525" s="54">
        <f>SUMIFS('Calcul prévi'!$E$520:$E$529,'Calcul prévi'!$D$455:$D$464,"Année 2",'Calcul prévi'!$E$455:$E$464,"Mois 5")+SUMIFS($E$532:$E$552,$D$467:$D$487,"Année 2",$E$467:$E$487,"Mois 5")</f>
        <v>0</v>
      </c>
      <c r="M525" s="54">
        <f>SUMIFS('Calcul prévi'!$E$520:$E$529,'Calcul prévi'!$D$455:$D$464,"Année 2",'Calcul prévi'!$E$455:$E$464,"Mois 6")+SUMIFS($E$532:$E$552,$D$467:$D$487,"Année 2",$E$467:$E$487,"Mois 6")</f>
        <v>0</v>
      </c>
      <c r="N525" s="54">
        <f>SUMIFS('Calcul prévi'!$E$520:$E$529,'Calcul prévi'!$D$455:$D$464,"Année 2",'Calcul prévi'!$E$455:$E$464,"Mois 7")+SUMIFS($E$532:$E$552,$D$467:$D$487,"Année 2",$E$467:$E$487,"Mois 7")</f>
        <v>0</v>
      </c>
      <c r="O525" s="54">
        <f>SUMIFS('Calcul prévi'!$E$520:$E$529,'Calcul prévi'!$D$455:$D$464,"Année 2",'Calcul prévi'!$E$455:$E$464,"Mois 8")+SUMIFS($E$532:$E$552,$D$467:$D$487,"Année 2",$E$467:$E$487,"Mois 8")</f>
        <v>0</v>
      </c>
      <c r="P525" s="54">
        <f>SUMIFS('Calcul prévi'!$E$520:$E$529,'Calcul prévi'!$D$455:$D$464,"Année 2",'Calcul prévi'!$E$455:$E$464,"Mois 9")+SUMIFS($E$532:$E$552,$D$467:$D$487,"Année 2",$E$467:$E$487,"Mois 9")</f>
        <v>0</v>
      </c>
      <c r="Q525" s="54">
        <f>SUMIFS('Calcul prévi'!$E$520:$E$529,'Calcul prévi'!$D$455:$D$464,"Année 2",'Calcul prévi'!$E$455:$E$464,"Mois 10")+SUMIFS($E$532:$E$552,$D$467:$D$487,"Année 2",$E$467:$E$487,"Mois 10")</f>
        <v>0</v>
      </c>
      <c r="R525" s="54">
        <f>SUMIFS('Calcul prévi'!$E$520:$E$529,'Calcul prévi'!$D$455:$D$464,"Année 2",'Calcul prévi'!$E$455:$E$464,"Mois 11")+SUMIFS($E$532:$E$552,$D$467:$D$487,"Année 2",$E$467:$E$487,"Mois 11")</f>
        <v>0</v>
      </c>
      <c r="S525" s="54">
        <f>SUMIFS('Calcul prévi'!$E$520:$E$529,'Calcul prévi'!$D$455:$D$464,"Année 2",'Calcul prévi'!$E$455:$E$464,"Mois 12")+SUMIFS($E$532:$E$552,$D$467:$D$487,"Année 2",$E$467:$E$487,"Mois 12")</f>
        <v>0</v>
      </c>
      <c r="T525" s="54">
        <f>SUM(H525:S525)</f>
        <v>0</v>
      </c>
      <c r="U525" s="31"/>
      <c r="V525" s="39"/>
    </row>
    <row r="526" spans="1:22" ht="18.75" x14ac:dyDescent="0.25">
      <c r="A526" s="38"/>
      <c r="B526" s="204">
        <f>Investissements!B90</f>
        <v>0</v>
      </c>
      <c r="C526" s="214">
        <f t="shared" si="120"/>
        <v>0</v>
      </c>
      <c r="D526" s="229">
        <f>+C526*(1+Investissements!G27)</f>
        <v>0</v>
      </c>
      <c r="E526" s="120">
        <f t="shared" si="121"/>
        <v>0</v>
      </c>
      <c r="F526" s="31"/>
      <c r="G526" s="45" t="s">
        <v>148</v>
      </c>
      <c r="H526" s="46" t="s">
        <v>149</v>
      </c>
      <c r="I526" s="46" t="s">
        <v>150</v>
      </c>
      <c r="J526" s="46" t="s">
        <v>151</v>
      </c>
      <c r="K526" s="46" t="s">
        <v>152</v>
      </c>
      <c r="L526" s="46" t="s">
        <v>153</v>
      </c>
      <c r="M526" s="46" t="s">
        <v>154</v>
      </c>
      <c r="N526" s="46" t="s">
        <v>155</v>
      </c>
      <c r="O526" s="46" t="s">
        <v>156</v>
      </c>
      <c r="P526" s="46" t="s">
        <v>157</v>
      </c>
      <c r="Q526" s="46" t="s">
        <v>158</v>
      </c>
      <c r="R526" s="46" t="s">
        <v>159</v>
      </c>
      <c r="S526" s="46" t="s">
        <v>160</v>
      </c>
      <c r="T526" s="46" t="s">
        <v>240</v>
      </c>
      <c r="U526" s="181" t="s">
        <v>204</v>
      </c>
      <c r="V526" s="39"/>
    </row>
    <row r="527" spans="1:22" x14ac:dyDescent="0.25">
      <c r="A527" s="38"/>
      <c r="B527" s="204">
        <f>Investissements!B91</f>
        <v>0</v>
      </c>
      <c r="C527" s="214">
        <f t="shared" si="120"/>
        <v>0</v>
      </c>
      <c r="D527" s="229">
        <f>+C527*(1+Investissements!G28)</f>
        <v>0</v>
      </c>
      <c r="E527" s="120">
        <f t="shared" si="121"/>
        <v>0</v>
      </c>
      <c r="F527" s="31"/>
      <c r="G527" s="33" t="s">
        <v>376</v>
      </c>
      <c r="H527" s="54">
        <f>SUMIFS('Calcul prévi'!$D$520:$D$529,'Calcul prévi'!$D$455:$D$464,"Année 3",'Calcul prévi'!$E$455:$E$464,"Mois 1")+SUMIFS($D$532:$D$552,$D$467:$D$487,"Année 3",$E$467:$E$487,"Mois 1")+SUMIFS($D$555:$D$559,$D$490:$D$494,"Année 3",$E$490:$E$494,"Mois 1")</f>
        <v>0</v>
      </c>
      <c r="I527" s="54">
        <f>SUMIFS('Calcul prévi'!$D$520:$D$529,'Calcul prévi'!$D$455:$D$464,"Année 3",'Calcul prévi'!$E$455:$E$464,"Mois 2")+SUMIFS($D$532:$D$552,$D$467:$D$487,"Année 3",$E$467:$E$487,"Mois 2")+SUMIFS($D$555:$D$559,$D$490:$D$494,"Année 3",$E$490:$E$494,"Mois 2")</f>
        <v>0</v>
      </c>
      <c r="J527" s="54">
        <f>SUMIFS('Calcul prévi'!$D$520:$D$529,'Calcul prévi'!$D$455:$D$464,"Année 3",'Calcul prévi'!$E$455:$E$464,"Mois 3")+SUMIFS($D$532:$D$552,$D$467:$D$487,"Année 3",$E$467:$E$487,"Mois 3")+SUMIFS($D$555:$D$559,$D$490:$D$494,"Année 3",$E$490:$E$494,"Mois 3")</f>
        <v>0</v>
      </c>
      <c r="K527" s="54">
        <f>SUMIFS('Calcul prévi'!$D$520:$D$529,'Calcul prévi'!$D$455:$D$464,"Année 3",'Calcul prévi'!$E$455:$E$464,"Mois 4")+SUMIFS($D$532:$D$552,$D$467:$D$487,"Année 3",$E$467:$E$487,"Mois 4")+SUMIFS($D$555:$D$559,$D$490:$D$494,"Année 3",$E$490:$E$494,"Mois 4")</f>
        <v>0</v>
      </c>
      <c r="L527" s="54">
        <f>SUMIFS('Calcul prévi'!$D$520:$D$529,'Calcul prévi'!$D$455:$D$464,"Année 3",'Calcul prévi'!$E$455:$E$464,"Mois 5")+SUMIFS($D$532:$D$552,$D$467:$D$487,"Année 3",$E$467:$E$487,"Mois 5")+SUMIFS($D$555:$D$559,$D$490:$D$494,"Année 3",$E$490:$E$494,"Mois 5")</f>
        <v>0</v>
      </c>
      <c r="M527" s="54">
        <f>SUMIFS('Calcul prévi'!$D$520:$D$529,'Calcul prévi'!$D$455:$D$464,"Année 3",'Calcul prévi'!$E$455:$E$464,"Mois 6")+SUMIFS($D$532:$D$552,$D$467:$D$487,"Année 3",$E$467:$E$487,"Mois 6")+SUMIFS($D$555:$D$559,$D$490:$D$494,"Année 3",$E$490:$E$494,"Mois 6")</f>
        <v>0</v>
      </c>
      <c r="N527" s="54">
        <f>SUMIFS('Calcul prévi'!$D$520:$D$529,'Calcul prévi'!$D$455:$D$464,"Année 3",'Calcul prévi'!$E$455:$E$464,"Mois 7")+SUMIFS($D$532:$D$552,$D$467:$D$487,"Année 3",$E$467:$E$487,"Mois 7")+SUMIFS($D$555:$D$559,$D$490:$D$494,"Année 3",$E$490:$E$494,"Mois 7")</f>
        <v>0</v>
      </c>
      <c r="O527" s="54">
        <f>SUMIFS('Calcul prévi'!$D$520:$D$529,'Calcul prévi'!$D$455:$D$464,"Année 3",'Calcul prévi'!$E$455:$E$464,"Mois 8")+SUMIFS($D$532:$D$552,$D$467:$D$487,"Année 3",$E$467:$E$487,"Mois 8")+SUMIFS($D$555:$D$559,$D$490:$D$494,"Année 3",$E$490:$E$494,"Mois 8")</f>
        <v>0</v>
      </c>
      <c r="P527" s="54">
        <f>SUMIFS('Calcul prévi'!$D$520:$D$529,'Calcul prévi'!$D$455:$D$464,"Année 3",'Calcul prévi'!$E$455:$E$464,"Mois 9")+SUMIFS($D$532:$D$552,$D$467:$D$487,"Année 3",$E$467:$E$487,"Mois 9")+SUMIFS($D$555:$D$559,$D$490:$D$494,"Année 3",$E$490:$E$494,"Mois 9")</f>
        <v>0</v>
      </c>
      <c r="Q527" s="54">
        <f>SUMIFS('Calcul prévi'!$D$520:$D$529,'Calcul prévi'!$D$455:$D$464,"Année 3",'Calcul prévi'!$E$455:$E$464,"Mois 10")+SUMIFS($D$532:$D$552,$D$467:$D$487,"Année 3",$E$467:$E$487,"Mois 10")+SUMIFS($D$555:$D$559,$D$490:$D$494,"Année 3",$E$490:$E$494,"Mois 10")</f>
        <v>0</v>
      </c>
      <c r="R527" s="54">
        <f>SUMIFS('Calcul prévi'!$D$520:$D$529,'Calcul prévi'!$D$455:$D$464,"Année 3",'Calcul prévi'!$E$455:$E$464,"Mois 11")+SUMIFS($D$532:$D$552,$D$467:$D$487,"Année 3",$E$467:$E$487,"Mois 11")+SUMIFS($D$555:$D$559,$D$490:$D$494,"Année 3",$E$490:$E$494,"Mois 11")</f>
        <v>0</v>
      </c>
      <c r="S527" s="54">
        <f>SUMIFS('Calcul prévi'!$D$520:$D$529,'Calcul prévi'!$D$455:$D$464,"Année 3",'Calcul prévi'!$E$455:$E$464,"Mois 12")+SUMIFS($D$532:$D$552,$D$467:$D$487,"Année 3",$E$467:$E$487,"Mois 12")+SUMIFS($D$555:$D$559,$D$490:$D$494,"Année 3",$E$490:$E$494,"Mois 12")</f>
        <v>0</v>
      </c>
      <c r="T527" s="54">
        <f>SUM(H527:S527)</f>
        <v>0</v>
      </c>
      <c r="U527" s="78"/>
      <c r="V527" s="39"/>
    </row>
    <row r="528" spans="1:22" x14ac:dyDescent="0.25">
      <c r="A528" s="38"/>
      <c r="B528" s="204">
        <f>Investissements!B92</f>
        <v>0</v>
      </c>
      <c r="C528" s="214">
        <f t="shared" si="120"/>
        <v>0</v>
      </c>
      <c r="D528" s="229">
        <f>+C528*(1+Investissements!G29)</f>
        <v>0</v>
      </c>
      <c r="E528" s="120">
        <f t="shared" si="121"/>
        <v>0</v>
      </c>
      <c r="F528" s="31"/>
      <c r="G528" s="33" t="s">
        <v>378</v>
      </c>
      <c r="H528" s="54">
        <f>IF(Caractéristiques!$C$43=0,H527,IF(Caractéristiques!$C$43=30,S523,IF(Caractéristiques!$C$43=60,R523,IF(Caractéristiques!$C$43=90,Q523,"erreur"))))</f>
        <v>0</v>
      </c>
      <c r="I528" s="54">
        <f>IF(Caractéristiques!$C$43=0,I527,IF(Caractéristiques!$C$43=30,H527,IF(Caractéristiques!$C$43=60,S523,IF(Caractéristiques!$C$43=90,R523,"erreur"))))</f>
        <v>0</v>
      </c>
      <c r="J528" s="54">
        <f>IF(Caractéristiques!$C$43=0,J527,IF(Caractéristiques!$C$43=30,I527,IF(Caractéristiques!$C$43=60,H527,IF(Caractéristiques!$C$43=90,S523,"erreur"))))</f>
        <v>0</v>
      </c>
      <c r="K528" s="54">
        <f>IF(Caractéristiques!$C$43=0,K527,IF(Caractéristiques!$C$43=30,J527,IF(Caractéristiques!$C$43=60,I527,IF(Caractéristiques!$C$43=90,H527,"erreur"))))</f>
        <v>0</v>
      </c>
      <c r="L528" s="54">
        <f>IF(Caractéristiques!$C$43=0,L527,IF(Caractéristiques!$C$43=30,K527,IF(Caractéristiques!$C$43=60,J527,IF(Caractéristiques!$C$43=90,I527,"erreur"))))</f>
        <v>0</v>
      </c>
      <c r="M528" s="54">
        <f>IF(Caractéristiques!$C$43=0,M527,IF(Caractéristiques!$C$43=30,L527,IF(Caractéristiques!$C$43=60,K527,IF(Caractéristiques!$C$43=90,J527,"erreur"))))</f>
        <v>0</v>
      </c>
      <c r="N528" s="54">
        <f>IF(Caractéristiques!$C$43=0,N527,IF(Caractéristiques!$C$43=30,M527,IF(Caractéristiques!$C$43=60,L527,IF(Caractéristiques!$C$43=90,K527,"erreur"))))</f>
        <v>0</v>
      </c>
      <c r="O528" s="54">
        <f>IF(Caractéristiques!$C$43=0,O527,IF(Caractéristiques!$C$43=30,N527,IF(Caractéristiques!$C$43=60,M527,IF(Caractéristiques!$C$43=90,L527,"erreur"))))</f>
        <v>0</v>
      </c>
      <c r="P528" s="54">
        <f>IF(Caractéristiques!$C$43=0,P527,IF(Caractéristiques!$C$43=30,O527,IF(Caractéristiques!$C$43=60,N527,IF(Caractéristiques!$C$43=90,M527,"erreur"))))</f>
        <v>0</v>
      </c>
      <c r="Q528" s="54">
        <f>IF(Caractéristiques!$C$43=0,Q527,IF(Caractéristiques!$C$43=30,P527,IF(Caractéristiques!$C$43=60,O527,IF(Caractéristiques!$C$43=90,N527,"erreur"))))</f>
        <v>0</v>
      </c>
      <c r="R528" s="54">
        <f>IF(Caractéristiques!$C$43=0,R527,IF(Caractéristiques!$C$43=30,Q527,IF(Caractéristiques!$C$43=60,P527,IF(Caractéristiques!$C$43=90,O527,"erreur"))))</f>
        <v>0</v>
      </c>
      <c r="S528" s="54">
        <f>IF(Caractéristiques!$C$43=0,S527,IF(Caractéristiques!$C$43=30,R527,IF(Caractéristiques!$C$43=60,Q527,IF(Caractéristiques!$C$43=90,P527,"erreur"))))</f>
        <v>0</v>
      </c>
      <c r="T528" s="54">
        <f>SUM(H528:S528)</f>
        <v>0</v>
      </c>
      <c r="U528" s="78">
        <f>IF(Caractéristiques!$C$43=0,0,IF(Caractéristiques!$C$43=30,S527,IF(Caractéristiques!$C$43=60,(S527+R527),IF(Caractéristiques!$C$43=90,(S527+R527+Q527),"erreur"))))</f>
        <v>0</v>
      </c>
      <c r="V528" s="39"/>
    </row>
    <row r="529" spans="1:22" x14ac:dyDescent="0.25">
      <c r="A529" s="31"/>
      <c r="B529" s="204">
        <f>Investissements!B93</f>
        <v>0</v>
      </c>
      <c r="C529" s="214">
        <f t="shared" si="120"/>
        <v>0</v>
      </c>
      <c r="D529" s="229">
        <f>+C529*(1+Investissements!G30)</f>
        <v>0</v>
      </c>
      <c r="E529" s="120">
        <f t="shared" si="121"/>
        <v>0</v>
      </c>
      <c r="F529" s="31"/>
      <c r="G529" s="33" t="s">
        <v>380</v>
      </c>
      <c r="H529" s="203">
        <f>SUMIFS('Calcul prévi'!$E$520:$E$529,'Calcul prévi'!$D$455:$D$464,"Année 3",'Calcul prévi'!$E$455:$E$464,"Mois 1")+SUMIFS($E$532:$E$552,$D$467:$D$487,"Année 3",$E$467:$E$487,"Mois 1")</f>
        <v>0</v>
      </c>
      <c r="I529" s="54">
        <f>SUMIFS('Calcul prévi'!$E$520:$E$529,'Calcul prévi'!$D$455:$D$464,"Année 3",'Calcul prévi'!$E$455:$E$464,"Mois 2")+SUMIFS($E$532:$E$552,$D$467:$D$487,"Année 3",$E$467:$E$487,"Mois 2")</f>
        <v>0</v>
      </c>
      <c r="J529" s="54">
        <f>SUMIFS('Calcul prévi'!$E$520:$E$529,'Calcul prévi'!$D$455:$D$464,"Année 3",'Calcul prévi'!$E$455:$E$464,"Mois 3")+SUMIFS($E$532:$E$552,$D$467:$D$487,"Année 3",$E$467:$E$487,"Mois 3")</f>
        <v>0</v>
      </c>
      <c r="K529" s="54">
        <f>SUMIFS('Calcul prévi'!$E$520:$E$529,'Calcul prévi'!$D$455:$D$464,"Année 3",'Calcul prévi'!$E$455:$E$464,"Mois 4")+SUMIFS($E$532:$E$552,$D$467:$D$487,"Année 3",$E$467:$E$487,"Mois 4")</f>
        <v>0</v>
      </c>
      <c r="L529" s="54">
        <f>SUMIFS('Calcul prévi'!$E$520:$E$529,'Calcul prévi'!$D$455:$D$464,"Année 3",'Calcul prévi'!$E$455:$E$464,"Mois 5")+SUMIFS($E$532:$E$552,$D$467:$D$487,"Année 3",$E$467:$E$487,"Mois 5")</f>
        <v>0</v>
      </c>
      <c r="M529" s="54">
        <f>SUMIFS('Calcul prévi'!$E$520:$E$529,'Calcul prévi'!$D$455:$D$464,"Année 3",'Calcul prévi'!$E$455:$E$464,"Mois 6")+SUMIFS($E$532:$E$552,$D$467:$D$487,"Année 3",$E$467:$E$487,"Mois 6")</f>
        <v>0</v>
      </c>
      <c r="N529" s="54">
        <f>SUMIFS('Calcul prévi'!$E$520:$E$529,'Calcul prévi'!$D$455:$D$464,"Année 3",'Calcul prévi'!$E$455:$E$464,"Mois 7")+SUMIFS($E$532:$E$552,$D$467:$D$487,"Année 3",$E$467:$E$487,"Mois 7")</f>
        <v>0</v>
      </c>
      <c r="O529" s="54">
        <f>SUMIFS('Calcul prévi'!$E$520:$E$529,'Calcul prévi'!$D$455:$D$464,"Année 3",'Calcul prévi'!$E$455:$E$464,"Mois 8")+SUMIFS($E$532:$E$552,$D$467:$D$487,"Année 3",$E$467:$E$487,"Mois 8")</f>
        <v>0</v>
      </c>
      <c r="P529" s="54">
        <f>SUMIFS('Calcul prévi'!$E$520:$E$529,'Calcul prévi'!$D$455:$D$464,"Année 3",'Calcul prévi'!$E$455:$E$464,"Mois 9")+SUMIFS($E$532:$E$552,$D$467:$D$487,"Année 3",$E$467:$E$487,"Mois 9")</f>
        <v>0</v>
      </c>
      <c r="Q529" s="54">
        <f>SUMIFS('Calcul prévi'!$E$520:$E$529,'Calcul prévi'!$D$455:$D$464,"Année 3",'Calcul prévi'!$E$455:$E$464,"Mois 10")+SUMIFS($E$532:$E$552,$D$467:$D$487,"Année 3",$E$467:$E$487,"Mois 10")</f>
        <v>0</v>
      </c>
      <c r="R529" s="54">
        <f>SUMIFS('Calcul prévi'!$E$520:$E$529,'Calcul prévi'!$D$455:$D$464,"Année 3",'Calcul prévi'!$E$455:$E$464,"Mois 11")+SUMIFS($E$532:$E$552,$D$467:$D$487,"Année 3",$E$467:$E$487,"Mois 11")</f>
        <v>0</v>
      </c>
      <c r="S529" s="54">
        <f>SUMIFS('Calcul prévi'!$E$520:$E$529,'Calcul prévi'!$D$455:$D$464,"Année 3",'Calcul prévi'!$E$455:$E$464,"Mois 12")+SUMIFS($E$532:$E$552,$D$467:$D$487,"Année 3",$E$467:$E$487,"Mois 12")</f>
        <v>0</v>
      </c>
      <c r="T529" s="54">
        <f>SUM(H529:S529)</f>
        <v>0</v>
      </c>
      <c r="U529" s="117"/>
      <c r="V529" s="39"/>
    </row>
    <row r="530" spans="1:22" x14ac:dyDescent="0.25">
      <c r="A530" s="31"/>
      <c r="B530" s="231" t="s">
        <v>20</v>
      </c>
      <c r="C530" s="234">
        <f>SUM(C520:C529)</f>
        <v>0</v>
      </c>
      <c r="D530" s="234">
        <f>SUM(D520:D529)</f>
        <v>0</v>
      </c>
      <c r="E530" s="234">
        <f>SUM(E520:E529)</f>
        <v>0</v>
      </c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9"/>
    </row>
    <row r="531" spans="1:22" x14ac:dyDescent="0.25">
      <c r="A531" s="31"/>
      <c r="B531" s="210" t="s">
        <v>357</v>
      </c>
      <c r="C531" s="211"/>
      <c r="D531" s="211"/>
      <c r="E531" s="212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9"/>
    </row>
    <row r="532" spans="1:22" x14ac:dyDescent="0.25">
      <c r="A532" s="31"/>
      <c r="B532" s="209">
        <f>Investissements!B96</f>
        <v>0</v>
      </c>
      <c r="C532" s="214">
        <f t="shared" ref="C532:C552" si="122">C467</f>
        <v>0</v>
      </c>
      <c r="D532" s="229">
        <f>+C532*(1+Investissements!G33)</f>
        <v>0</v>
      </c>
      <c r="E532" s="120">
        <f t="shared" si="121"/>
        <v>0</v>
      </c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9"/>
    </row>
    <row r="533" spans="1:22" x14ac:dyDescent="0.25">
      <c r="A533" s="31"/>
      <c r="B533" s="205">
        <f>Investissements!B97</f>
        <v>0</v>
      </c>
      <c r="C533" s="214">
        <f t="shared" si="122"/>
        <v>0</v>
      </c>
      <c r="D533" s="229">
        <f>+C533*(1+Investissements!G34)</f>
        <v>0</v>
      </c>
      <c r="E533" s="120">
        <f t="shared" si="121"/>
        <v>0</v>
      </c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9"/>
    </row>
    <row r="534" spans="1:22" x14ac:dyDescent="0.25">
      <c r="A534" s="31"/>
      <c r="B534" s="205">
        <f>Investissements!B98</f>
        <v>0</v>
      </c>
      <c r="C534" s="214">
        <f t="shared" si="122"/>
        <v>0</v>
      </c>
      <c r="D534" s="229">
        <f>+C534*(1+Investissements!G35)</f>
        <v>0</v>
      </c>
      <c r="E534" s="120">
        <f t="shared" si="121"/>
        <v>0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9"/>
    </row>
    <row r="535" spans="1:22" x14ac:dyDescent="0.25">
      <c r="A535" s="31"/>
      <c r="B535" s="205">
        <f>Investissements!B99</f>
        <v>0</v>
      </c>
      <c r="C535" s="214">
        <f t="shared" si="122"/>
        <v>0</v>
      </c>
      <c r="D535" s="229">
        <f>+C535*(1+Investissements!G36)</f>
        <v>0</v>
      </c>
      <c r="E535" s="120">
        <f t="shared" si="121"/>
        <v>0</v>
      </c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9"/>
    </row>
    <row r="536" spans="1:22" x14ac:dyDescent="0.25">
      <c r="A536" s="43"/>
      <c r="B536" s="205">
        <f>Investissements!B100</f>
        <v>0</v>
      </c>
      <c r="C536" s="214">
        <f t="shared" si="122"/>
        <v>0</v>
      </c>
      <c r="D536" s="229">
        <f>+C536*(1+Investissements!G37)</f>
        <v>0</v>
      </c>
      <c r="E536" s="120">
        <f t="shared" si="121"/>
        <v>0</v>
      </c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9"/>
    </row>
    <row r="537" spans="1:22" x14ac:dyDescent="0.25">
      <c r="A537" s="43"/>
      <c r="B537" s="205">
        <f>Investissements!B101</f>
        <v>0</v>
      </c>
      <c r="C537" s="214">
        <f t="shared" si="122"/>
        <v>0</v>
      </c>
      <c r="D537" s="229">
        <f>+C537*(1+Investissements!G38)</f>
        <v>0</v>
      </c>
      <c r="E537" s="120">
        <f t="shared" si="121"/>
        <v>0</v>
      </c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9"/>
    </row>
    <row r="538" spans="1:22" x14ac:dyDescent="0.25">
      <c r="A538" s="43"/>
      <c r="B538" s="205">
        <f>Investissements!B102</f>
        <v>0</v>
      </c>
      <c r="C538" s="214">
        <f t="shared" si="122"/>
        <v>0</v>
      </c>
      <c r="D538" s="229">
        <f>+C538*(1+Investissements!G39)</f>
        <v>0</v>
      </c>
      <c r="E538" s="120">
        <f t="shared" si="121"/>
        <v>0</v>
      </c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9"/>
    </row>
    <row r="539" spans="1:22" x14ac:dyDescent="0.25">
      <c r="A539" s="43"/>
      <c r="B539" s="205">
        <f>Investissements!B103</f>
        <v>0</v>
      </c>
      <c r="C539" s="214">
        <f t="shared" si="122"/>
        <v>0</v>
      </c>
      <c r="D539" s="229">
        <f>+C539*(1+Investissements!G40)</f>
        <v>0</v>
      </c>
      <c r="E539" s="120">
        <f t="shared" si="121"/>
        <v>0</v>
      </c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9"/>
    </row>
    <row r="540" spans="1:22" x14ac:dyDescent="0.25">
      <c r="A540" s="43"/>
      <c r="B540" s="205">
        <f>Investissements!B104</f>
        <v>0</v>
      </c>
      <c r="C540" s="214">
        <f t="shared" si="122"/>
        <v>0</v>
      </c>
      <c r="D540" s="229">
        <f>+C540*(1+Investissements!G41)</f>
        <v>0</v>
      </c>
      <c r="E540" s="120">
        <f t="shared" si="121"/>
        <v>0</v>
      </c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9"/>
    </row>
    <row r="541" spans="1:22" x14ac:dyDescent="0.25">
      <c r="A541" s="43"/>
      <c r="B541" s="205">
        <f>Investissements!B105</f>
        <v>0</v>
      </c>
      <c r="C541" s="214">
        <f t="shared" si="122"/>
        <v>0</v>
      </c>
      <c r="D541" s="229">
        <f>+C541*(1+Investissements!G42)</f>
        <v>0</v>
      </c>
      <c r="E541" s="120">
        <f t="shared" si="121"/>
        <v>0</v>
      </c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9"/>
    </row>
    <row r="542" spans="1:22" x14ac:dyDescent="0.25">
      <c r="A542" s="43"/>
      <c r="B542" s="205">
        <f>Investissements!B106</f>
        <v>0</v>
      </c>
      <c r="C542" s="214">
        <f t="shared" si="122"/>
        <v>0</v>
      </c>
      <c r="D542" s="229">
        <f>+C542*(1+Investissements!G43)</f>
        <v>0</v>
      </c>
      <c r="E542" s="120">
        <f t="shared" si="121"/>
        <v>0</v>
      </c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9"/>
    </row>
    <row r="543" spans="1:22" x14ac:dyDescent="0.25">
      <c r="A543" s="43"/>
      <c r="B543" s="205">
        <f>Investissements!B107</f>
        <v>0</v>
      </c>
      <c r="C543" s="214">
        <f t="shared" si="122"/>
        <v>0</v>
      </c>
      <c r="D543" s="229">
        <f>+C543*(1+Investissements!G44)</f>
        <v>0</v>
      </c>
      <c r="E543" s="120">
        <f t="shared" si="121"/>
        <v>0</v>
      </c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9"/>
    </row>
    <row r="544" spans="1:22" x14ac:dyDescent="0.25">
      <c r="A544" s="43"/>
      <c r="B544" s="205">
        <f>Investissements!B108</f>
        <v>0</v>
      </c>
      <c r="C544" s="214">
        <f t="shared" si="122"/>
        <v>0</v>
      </c>
      <c r="D544" s="229">
        <f>+C544*(1+Investissements!G45)</f>
        <v>0</v>
      </c>
      <c r="E544" s="120">
        <f t="shared" si="121"/>
        <v>0</v>
      </c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9"/>
    </row>
    <row r="545" spans="1:21" x14ac:dyDescent="0.25">
      <c r="A545" s="43"/>
      <c r="B545" s="205">
        <f>Investissements!B109</f>
        <v>0</v>
      </c>
      <c r="C545" s="214">
        <f t="shared" si="122"/>
        <v>0</v>
      </c>
      <c r="D545" s="229">
        <f>+C545*(1+Investissements!G46)</f>
        <v>0</v>
      </c>
      <c r="E545" s="120">
        <f t="shared" si="121"/>
        <v>0</v>
      </c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9"/>
    </row>
    <row r="546" spans="1:21" x14ac:dyDescent="0.25">
      <c r="A546" s="43"/>
      <c r="B546" s="205">
        <f>Investissements!B110</f>
        <v>0</v>
      </c>
      <c r="C546" s="214">
        <f t="shared" si="122"/>
        <v>0</v>
      </c>
      <c r="D546" s="229">
        <f>+C546*(1+Investissements!G47)</f>
        <v>0</v>
      </c>
      <c r="E546" s="120">
        <f t="shared" si="121"/>
        <v>0</v>
      </c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9"/>
    </row>
    <row r="547" spans="1:21" x14ac:dyDescent="0.25">
      <c r="A547" s="43"/>
      <c r="B547" s="205">
        <f>Investissements!B111</f>
        <v>0</v>
      </c>
      <c r="C547" s="214">
        <f t="shared" si="122"/>
        <v>0</v>
      </c>
      <c r="D547" s="229">
        <f>+C547*(1+Investissements!G48)</f>
        <v>0</v>
      </c>
      <c r="E547" s="120">
        <f t="shared" si="121"/>
        <v>0</v>
      </c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9"/>
    </row>
    <row r="548" spans="1:21" x14ac:dyDescent="0.25">
      <c r="A548" s="43"/>
      <c r="B548" s="205">
        <f>Investissements!B112</f>
        <v>0</v>
      </c>
      <c r="C548" s="214">
        <f t="shared" si="122"/>
        <v>0</v>
      </c>
      <c r="D548" s="229">
        <f>+C548*(1+Investissements!G49)</f>
        <v>0</v>
      </c>
      <c r="E548" s="120">
        <f t="shared" si="121"/>
        <v>0</v>
      </c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9"/>
    </row>
    <row r="549" spans="1:21" x14ac:dyDescent="0.25">
      <c r="A549" s="43"/>
      <c r="B549" s="205">
        <f>Investissements!B113</f>
        <v>0</v>
      </c>
      <c r="C549" s="214">
        <f t="shared" si="122"/>
        <v>0</v>
      </c>
      <c r="D549" s="229">
        <f>+C549*(1+Investissements!G50)</f>
        <v>0</v>
      </c>
      <c r="E549" s="120">
        <f t="shared" si="121"/>
        <v>0</v>
      </c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9"/>
    </row>
    <row r="550" spans="1:21" x14ac:dyDescent="0.25">
      <c r="A550" s="43"/>
      <c r="B550" s="205">
        <f>Investissements!B114</f>
        <v>0</v>
      </c>
      <c r="C550" s="214">
        <f t="shared" si="122"/>
        <v>0</v>
      </c>
      <c r="D550" s="229">
        <f>+C550*(1+Investissements!G51)</f>
        <v>0</v>
      </c>
      <c r="E550" s="120">
        <f t="shared" si="121"/>
        <v>0</v>
      </c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9"/>
    </row>
    <row r="551" spans="1:21" x14ac:dyDescent="0.25">
      <c r="A551" s="43"/>
      <c r="B551" s="205">
        <f>Investissements!B115</f>
        <v>0</v>
      </c>
      <c r="C551" s="214">
        <f t="shared" si="122"/>
        <v>0</v>
      </c>
      <c r="D551" s="229">
        <f>+C551*(1+Investissements!G52)</f>
        <v>0</v>
      </c>
      <c r="E551" s="120">
        <f t="shared" si="121"/>
        <v>0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9"/>
    </row>
    <row r="552" spans="1:21" x14ac:dyDescent="0.25">
      <c r="A552" s="43"/>
      <c r="B552" s="205">
        <f>Investissements!B116</f>
        <v>0</v>
      </c>
      <c r="C552" s="214">
        <f t="shared" si="122"/>
        <v>0</v>
      </c>
      <c r="D552" s="229">
        <f>+C552*(1+Investissements!G53)</f>
        <v>0</v>
      </c>
      <c r="E552" s="120">
        <f t="shared" si="121"/>
        <v>0</v>
      </c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9"/>
    </row>
    <row r="553" spans="1:21" x14ac:dyDescent="0.25">
      <c r="A553" s="43"/>
      <c r="B553" s="231" t="s">
        <v>20</v>
      </c>
      <c r="C553" s="232">
        <f>SUM(C536:C552)</f>
        <v>0</v>
      </c>
      <c r="D553" s="237">
        <f>SUM(D536:D552)</f>
        <v>0</v>
      </c>
      <c r="E553" s="237">
        <f>SUM(E536:E552)</f>
        <v>0</v>
      </c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9"/>
    </row>
    <row r="554" spans="1:21" x14ac:dyDescent="0.25">
      <c r="A554" s="43"/>
      <c r="B554" s="210" t="s">
        <v>358</v>
      </c>
      <c r="C554" s="215"/>
      <c r="D554" s="215"/>
      <c r="E554" s="216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9"/>
    </row>
    <row r="555" spans="1:21" x14ac:dyDescent="0.25">
      <c r="A555" s="43"/>
      <c r="B555" s="208">
        <f>+Investissements!B119</f>
        <v>0</v>
      </c>
      <c r="C555" s="214">
        <f>C490</f>
        <v>0</v>
      </c>
      <c r="D555" s="54">
        <f>C555</f>
        <v>0</v>
      </c>
      <c r="E555" s="120">
        <f t="shared" si="121"/>
        <v>0</v>
      </c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9"/>
    </row>
    <row r="556" spans="1:21" x14ac:dyDescent="0.25">
      <c r="A556" s="43"/>
      <c r="B556" s="184">
        <f>+Investissements!B120</f>
        <v>0</v>
      </c>
      <c r="C556" s="214">
        <f>C491</f>
        <v>0</v>
      </c>
      <c r="D556" s="54">
        <f t="shared" ref="D556:D559" si="123">C556</f>
        <v>0</v>
      </c>
      <c r="E556" s="120">
        <f t="shared" si="121"/>
        <v>0</v>
      </c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9"/>
    </row>
    <row r="557" spans="1:21" x14ac:dyDescent="0.25">
      <c r="A557" s="43"/>
      <c r="B557" s="184">
        <f>+Investissements!B121</f>
        <v>0</v>
      </c>
      <c r="C557" s="214">
        <f t="shared" ref="C557:C559" si="124">C492</f>
        <v>0</v>
      </c>
      <c r="D557" s="54">
        <f t="shared" si="123"/>
        <v>0</v>
      </c>
      <c r="E557" s="120">
        <f t="shared" si="121"/>
        <v>0</v>
      </c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9"/>
    </row>
    <row r="558" spans="1:21" x14ac:dyDescent="0.25">
      <c r="A558" s="43"/>
      <c r="B558" s="184">
        <f>+Investissements!B122</f>
        <v>0</v>
      </c>
      <c r="C558" s="214">
        <f t="shared" si="124"/>
        <v>0</v>
      </c>
      <c r="D558" s="54">
        <f t="shared" si="123"/>
        <v>0</v>
      </c>
      <c r="E558" s="120">
        <f t="shared" si="121"/>
        <v>0</v>
      </c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9"/>
    </row>
    <row r="559" spans="1:21" x14ac:dyDescent="0.25">
      <c r="A559" s="43"/>
      <c r="B559" s="184">
        <f>+Investissements!B123</f>
        <v>0</v>
      </c>
      <c r="C559" s="214">
        <f t="shared" si="124"/>
        <v>0</v>
      </c>
      <c r="D559" s="54">
        <f t="shared" si="123"/>
        <v>0</v>
      </c>
      <c r="E559" s="120">
        <f t="shared" si="121"/>
        <v>0</v>
      </c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9"/>
    </row>
    <row r="560" spans="1:21" x14ac:dyDescent="0.25">
      <c r="A560" s="43"/>
      <c r="B560" s="236" t="s">
        <v>20</v>
      </c>
      <c r="C560" s="237">
        <f>SUM(C555:C559)</f>
        <v>0</v>
      </c>
      <c r="D560" s="237">
        <f>SUM(D555:D559)</f>
        <v>0</v>
      </c>
      <c r="E560" s="237">
        <f>SUM(E555:E559)</f>
        <v>0</v>
      </c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9"/>
    </row>
    <row r="561" spans="1:21" x14ac:dyDescent="0.25">
      <c r="A561" s="43"/>
      <c r="B561" s="225" t="s">
        <v>368</v>
      </c>
      <c r="C561" s="197">
        <f>C560+C553+C530</f>
        <v>0</v>
      </c>
      <c r="D561" s="197">
        <f>D560+D553+D530</f>
        <v>0</v>
      </c>
      <c r="E561" s="197">
        <f>E560+E553+E530</f>
        <v>0</v>
      </c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9"/>
    </row>
    <row r="562" spans="1:2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9"/>
    </row>
    <row r="563" spans="1:2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9"/>
    </row>
    <row r="564" spans="1:21" ht="18.75" x14ac:dyDescent="0.3">
      <c r="A564" s="31"/>
      <c r="B564" s="81" t="s">
        <v>421</v>
      </c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9"/>
    </row>
    <row r="565" spans="1:2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9"/>
    </row>
    <row r="566" spans="1:21" x14ac:dyDescent="0.25">
      <c r="A566" s="31"/>
      <c r="B566" s="29"/>
      <c r="C566" s="286" t="s">
        <v>146</v>
      </c>
      <c r="D566" s="286" t="s">
        <v>147</v>
      </c>
      <c r="E566" s="286" t="s">
        <v>148</v>
      </c>
      <c r="F566" s="228" t="s">
        <v>204</v>
      </c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9"/>
    </row>
    <row r="567" spans="1:21" ht="15.75" customHeight="1" x14ac:dyDescent="0.25">
      <c r="A567" s="31"/>
      <c r="B567" s="117" t="s">
        <v>422</v>
      </c>
      <c r="C567" s="120">
        <f>+Autres!C15</f>
        <v>0</v>
      </c>
      <c r="D567" s="120">
        <f>+Autres!D15</f>
        <v>0</v>
      </c>
      <c r="E567" s="120">
        <f>+Autres!E15</f>
        <v>0</v>
      </c>
      <c r="F567" s="78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9"/>
    </row>
    <row r="568" spans="1:21" x14ac:dyDescent="0.25">
      <c r="A568" s="31"/>
      <c r="B568" s="117" t="s">
        <v>423</v>
      </c>
      <c r="C568" s="120">
        <f>+C567</f>
        <v>0</v>
      </c>
      <c r="D568" s="120">
        <f>+D567</f>
        <v>0</v>
      </c>
      <c r="E568" s="120">
        <f>+E567</f>
        <v>0</v>
      </c>
      <c r="F568" s="120">
        <v>0</v>
      </c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9"/>
    </row>
    <row r="569" spans="1:2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9"/>
    </row>
    <row r="570" spans="1:21" x14ac:dyDescent="0.25">
      <c r="A570" s="31"/>
      <c r="B570" s="31"/>
      <c r="C570" s="286" t="s">
        <v>146</v>
      </c>
      <c r="D570" s="286" t="s">
        <v>147</v>
      </c>
      <c r="E570" s="286" t="s">
        <v>148</v>
      </c>
      <c r="F570" s="31"/>
      <c r="G570" s="182" t="s">
        <v>146</v>
      </c>
      <c r="H570" s="182" t="s">
        <v>305</v>
      </c>
      <c r="I570" s="29"/>
      <c r="J570" s="29"/>
      <c r="K570" s="29"/>
      <c r="L570" s="29"/>
      <c r="M570" s="31"/>
      <c r="N570" s="31"/>
      <c r="O570" s="31"/>
      <c r="P570" s="31"/>
      <c r="Q570" s="31"/>
      <c r="R570" s="31"/>
      <c r="S570" s="31"/>
      <c r="T570" s="31"/>
      <c r="U570" s="39"/>
    </row>
    <row r="571" spans="1:21" x14ac:dyDescent="0.25">
      <c r="A571" s="31"/>
      <c r="B571" s="117" t="s">
        <v>457</v>
      </c>
      <c r="C571" s="120">
        <f>IF(Caractéristiques!$C$35="IS",'Compte de résultat'!C23,0)</f>
        <v>0</v>
      </c>
      <c r="D571" s="120">
        <f>IF(Caractéristiques!$C$35="IS",'Compte de résultat'!D23+C574,0)</f>
        <v>0</v>
      </c>
      <c r="E571" s="120">
        <f>IF(Caractéristiques!$C$35="IS",'Compte de résultat'!F23+D574,0)</f>
        <v>0</v>
      </c>
      <c r="F571" s="31"/>
      <c r="G571" s="29"/>
      <c r="H571" s="250">
        <f>C575</f>
        <v>0</v>
      </c>
      <c r="I571" s="29"/>
      <c r="J571" s="29"/>
      <c r="K571" s="29"/>
      <c r="L571" s="29"/>
      <c r="M571" s="31"/>
      <c r="N571" s="31"/>
      <c r="O571" s="31"/>
      <c r="P571" s="31"/>
      <c r="Q571" s="31"/>
      <c r="R571" s="31"/>
      <c r="S571" s="31"/>
      <c r="T571" s="31"/>
      <c r="U571" s="39"/>
    </row>
    <row r="572" spans="1:21" x14ac:dyDescent="0.25">
      <c r="A572" s="31"/>
      <c r="B572" s="117" t="s">
        <v>458</v>
      </c>
      <c r="C572" s="120">
        <f>IF(C571&gt;0,IF(C571&lt;38120,C571*15%,IF(C571=38120,C571*15%,38120*15%)),0)</f>
        <v>0</v>
      </c>
      <c r="D572" s="120">
        <f t="shared" ref="D572:E572" si="125">IF(D571&gt;0,IF(D571&lt;38120,D571*15%,IF(D571=38120,D571*15%,38120*15%)),0)</f>
        <v>0</v>
      </c>
      <c r="E572" s="120">
        <f t="shared" si="125"/>
        <v>0</v>
      </c>
      <c r="F572" s="31"/>
      <c r="G572" s="29"/>
      <c r="H572" s="29"/>
      <c r="I572" s="29"/>
      <c r="J572" s="29"/>
      <c r="K572" s="29"/>
      <c r="L572" s="29"/>
      <c r="M572" s="31"/>
      <c r="N572" s="31"/>
      <c r="O572" s="31"/>
      <c r="P572" s="31"/>
      <c r="Q572" s="31"/>
      <c r="R572" s="31"/>
      <c r="S572" s="31"/>
      <c r="T572" s="31"/>
      <c r="U572" s="39"/>
    </row>
    <row r="573" spans="1:21" x14ac:dyDescent="0.25">
      <c r="A573" s="31"/>
      <c r="B573" s="117" t="s">
        <v>459</v>
      </c>
      <c r="C573" s="120">
        <f>IF(C571&gt;38120,(C571-38120)*28%,0)</f>
        <v>0</v>
      </c>
      <c r="D573" s="120">
        <f t="shared" ref="D573:E573" si="126">IF(D571&gt;38120,(D571-38120)*28%,0)</f>
        <v>0</v>
      </c>
      <c r="E573" s="120">
        <f t="shared" si="126"/>
        <v>0</v>
      </c>
      <c r="F573" s="31"/>
      <c r="G573" s="182" t="s">
        <v>147</v>
      </c>
      <c r="H573" s="182" t="s">
        <v>152</v>
      </c>
      <c r="I573" s="182" t="s">
        <v>154</v>
      </c>
      <c r="J573" s="182" t="s">
        <v>157</v>
      </c>
      <c r="K573" s="182" t="s">
        <v>160</v>
      </c>
      <c r="L573" s="182" t="s">
        <v>305</v>
      </c>
      <c r="M573" s="182" t="s">
        <v>463</v>
      </c>
      <c r="N573" s="31"/>
      <c r="O573" s="31"/>
      <c r="P573" s="31"/>
      <c r="Q573" s="31"/>
      <c r="R573" s="31"/>
      <c r="S573" s="31"/>
      <c r="T573" s="31"/>
      <c r="U573" s="39"/>
    </row>
    <row r="574" spans="1:21" x14ac:dyDescent="0.25">
      <c r="A574" s="31"/>
      <c r="B574" s="117" t="s">
        <v>460</v>
      </c>
      <c r="C574" s="120">
        <f>IF(C571&lt;0,C571,0)</f>
        <v>0</v>
      </c>
      <c r="D574" s="120">
        <f>IF(D571&lt;0,D571,0)</f>
        <v>0</v>
      </c>
      <c r="E574" s="120">
        <f>IF(E571&lt;0,E571,0)</f>
        <v>0</v>
      </c>
      <c r="F574" s="31"/>
      <c r="G574" s="117" t="s">
        <v>462</v>
      </c>
      <c r="H574" s="120">
        <f>C575</f>
        <v>0</v>
      </c>
      <c r="I574" s="117">
        <f>IF($C$575&gt;3000,$C$575/2,0)</f>
        <v>0</v>
      </c>
      <c r="J574" s="117">
        <f>IF($C$575&gt;3000,$C$575/4,0)</f>
        <v>0</v>
      </c>
      <c r="K574" s="117">
        <f>IF($C$575&gt;3000,$C$575/4,0)</f>
        <v>0</v>
      </c>
      <c r="L574" s="120">
        <f>IF(D575-K574-J574-I574&gt;0,D575-K574-J574-I574,0)</f>
        <v>0</v>
      </c>
      <c r="M574" s="120">
        <f>IF(D575-K574-J574-I574&lt;0,-D575+K574+J574+I574,0)</f>
        <v>0</v>
      </c>
      <c r="N574" s="31"/>
      <c r="O574" s="31"/>
      <c r="P574" s="31"/>
      <c r="Q574" s="31"/>
      <c r="R574" s="31"/>
      <c r="S574" s="31"/>
      <c r="T574" s="31"/>
      <c r="U574" s="39"/>
    </row>
    <row r="575" spans="1:21" x14ac:dyDescent="0.25">
      <c r="A575" s="31"/>
      <c r="B575" s="117" t="s">
        <v>461</v>
      </c>
      <c r="C575" s="120">
        <f>+C572+C573</f>
        <v>0</v>
      </c>
      <c r="D575" s="120">
        <f t="shared" ref="D575:E575" si="127">+D572+D573</f>
        <v>0</v>
      </c>
      <c r="E575" s="120">
        <f t="shared" si="127"/>
        <v>0</v>
      </c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9"/>
    </row>
    <row r="576" spans="1:21" x14ac:dyDescent="0.25">
      <c r="A576" s="31"/>
      <c r="B576" s="31"/>
      <c r="C576" s="249"/>
      <c r="D576" s="249"/>
      <c r="E576" s="249"/>
      <c r="F576" s="31"/>
      <c r="G576" s="182" t="s">
        <v>148</v>
      </c>
      <c r="H576" s="182" t="s">
        <v>151</v>
      </c>
      <c r="I576" s="182" t="s">
        <v>152</v>
      </c>
      <c r="J576" s="182" t="s">
        <v>154</v>
      </c>
      <c r="K576" s="182" t="s">
        <v>157</v>
      </c>
      <c r="L576" s="182" t="s">
        <v>160</v>
      </c>
      <c r="M576" s="182" t="s">
        <v>305</v>
      </c>
      <c r="N576" s="182" t="s">
        <v>463</v>
      </c>
      <c r="O576" s="31"/>
      <c r="P576" s="31"/>
      <c r="Q576" s="31"/>
      <c r="R576" s="31"/>
      <c r="S576" s="31"/>
      <c r="T576" s="31"/>
      <c r="U576" s="39"/>
    </row>
    <row r="577" spans="1:21" x14ac:dyDescent="0.25">
      <c r="A577" s="31"/>
      <c r="B577" s="31"/>
      <c r="C577" s="31"/>
      <c r="D577" s="31"/>
      <c r="E577" s="31"/>
      <c r="F577" s="31"/>
      <c r="G577" s="117" t="s">
        <v>462</v>
      </c>
      <c r="H577" s="117">
        <f>IF($D$575&gt;3000,$D$575/4,0)</f>
        <v>0</v>
      </c>
      <c r="I577" s="120">
        <f>L574</f>
        <v>0</v>
      </c>
      <c r="J577" s="117">
        <f>IF($D$575&gt;3000,$D$575/4,0)</f>
        <v>0</v>
      </c>
      <c r="K577" s="117">
        <f>IF($D$575&gt;3000,$D$575/4,0)</f>
        <v>0</v>
      </c>
      <c r="L577" s="117">
        <f>IF($D$575&gt;3000,$D$575/4,0)</f>
        <v>0</v>
      </c>
      <c r="M577" s="120">
        <f>IF(E575-J577-K577-L577-H577&gt;0,E575-J577-K577-L577-H577,0)</f>
        <v>0</v>
      </c>
      <c r="N577" s="120">
        <f>IF(E575-J577-K577-L577-H577&lt;0,-E575+J577+K577+L577+H577,0)</f>
        <v>0</v>
      </c>
      <c r="O577" s="31"/>
      <c r="P577" s="31"/>
      <c r="Q577" s="31"/>
      <c r="R577" s="31"/>
      <c r="S577" s="31"/>
      <c r="T577" s="31"/>
      <c r="U577" s="39"/>
    </row>
    <row r="578" spans="1:21" x14ac:dyDescent="0.25">
      <c r="A578" s="31"/>
      <c r="B578" s="31"/>
      <c r="C578" s="31"/>
      <c r="D578" s="31"/>
      <c r="E578" s="31"/>
      <c r="F578" s="31"/>
      <c r="G578" s="117" t="s">
        <v>708</v>
      </c>
      <c r="H578" s="117"/>
      <c r="I578" s="120">
        <f>M574</f>
        <v>0</v>
      </c>
      <c r="J578" s="117"/>
      <c r="K578" s="117"/>
      <c r="L578" s="117"/>
      <c r="M578" s="120"/>
      <c r="N578" s="120"/>
      <c r="O578" s="31"/>
      <c r="P578" s="31"/>
      <c r="Q578" s="31"/>
      <c r="R578" s="31"/>
      <c r="S578" s="31"/>
      <c r="T578" s="31"/>
      <c r="U578" s="39"/>
    </row>
    <row r="579" spans="1:21" ht="18.75" x14ac:dyDescent="0.3">
      <c r="A579" s="31"/>
      <c r="B579" s="281" t="s">
        <v>88</v>
      </c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9"/>
    </row>
    <row r="580" spans="1:2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9"/>
    </row>
    <row r="581" spans="1:21" ht="18.75" x14ac:dyDescent="0.25">
      <c r="A581" s="31"/>
      <c r="B581" s="45" t="s">
        <v>146</v>
      </c>
      <c r="C581" s="46" t="s">
        <v>149</v>
      </c>
      <c r="D581" s="46" t="s">
        <v>150</v>
      </c>
      <c r="E581" s="46" t="s">
        <v>151</v>
      </c>
      <c r="F581" s="46" t="s">
        <v>152</v>
      </c>
      <c r="G581" s="46" t="s">
        <v>153</v>
      </c>
      <c r="H581" s="46" t="s">
        <v>154</v>
      </c>
      <c r="I581" s="46" t="s">
        <v>155</v>
      </c>
      <c r="J581" s="46" t="s">
        <v>156</v>
      </c>
      <c r="K581" s="46" t="s">
        <v>157</v>
      </c>
      <c r="L581" s="46" t="s">
        <v>158</v>
      </c>
      <c r="M581" s="46" t="s">
        <v>159</v>
      </c>
      <c r="N581" s="46" t="s">
        <v>160</v>
      </c>
      <c r="O581" s="46" t="s">
        <v>240</v>
      </c>
      <c r="P581" s="31"/>
      <c r="Q581" s="31"/>
      <c r="R581" s="31"/>
      <c r="S581" s="31"/>
      <c r="T581" s="31"/>
      <c r="U581" s="39"/>
    </row>
    <row r="582" spans="1:21" x14ac:dyDescent="0.25">
      <c r="A582" s="31"/>
      <c r="B582" s="117" t="s">
        <v>435</v>
      </c>
      <c r="C582" s="120">
        <f>+Autres!C31</f>
        <v>0</v>
      </c>
      <c r="D582" s="120">
        <f>+Autres!D31</f>
        <v>0</v>
      </c>
      <c r="E582" s="120">
        <f>+Autres!E31</f>
        <v>0</v>
      </c>
      <c r="F582" s="120">
        <f>+Autres!F31</f>
        <v>0</v>
      </c>
      <c r="G582" s="120">
        <f>+Autres!G31</f>
        <v>0</v>
      </c>
      <c r="H582" s="120">
        <f>+Autres!H31</f>
        <v>0</v>
      </c>
      <c r="I582" s="120">
        <f>+Autres!I31</f>
        <v>0</v>
      </c>
      <c r="J582" s="120">
        <f>+Autres!J31</f>
        <v>0</v>
      </c>
      <c r="K582" s="120">
        <f>+Autres!K31</f>
        <v>0</v>
      </c>
      <c r="L582" s="120">
        <f>+Autres!L31</f>
        <v>0</v>
      </c>
      <c r="M582" s="120">
        <f>+Autres!M31</f>
        <v>0</v>
      </c>
      <c r="N582" s="120">
        <f>+Autres!N31</f>
        <v>0</v>
      </c>
      <c r="O582" s="120">
        <f>SUM(C582:N582)</f>
        <v>0</v>
      </c>
      <c r="P582" s="31"/>
      <c r="Q582" s="31"/>
      <c r="R582" s="31"/>
      <c r="S582" s="31"/>
      <c r="T582" s="31"/>
      <c r="U582" s="39"/>
    </row>
    <row r="583" spans="1:21" x14ac:dyDescent="0.25">
      <c r="A583" s="31"/>
      <c r="B583" s="117" t="s">
        <v>436</v>
      </c>
      <c r="C583" s="120">
        <f>SUMIF(Autres!$O$21:$O$30,"20%",Autres!C21:C30)</f>
        <v>0</v>
      </c>
      <c r="D583" s="120">
        <f>SUMIF(Autres!$O$21:$O$30,"20%",Autres!D21:D30)</f>
        <v>0</v>
      </c>
      <c r="E583" s="120">
        <f>SUMIF(Autres!$O$21:$O$30,"20%",Autres!E21:E30)</f>
        <v>0</v>
      </c>
      <c r="F583" s="120">
        <f>SUMIF(Autres!$O$21:$O$30,"20%",Autres!F21:F30)</f>
        <v>0</v>
      </c>
      <c r="G583" s="120">
        <f>SUMIF(Autres!$O$21:$O$30,"20%",Autres!G21:G30)</f>
        <v>0</v>
      </c>
      <c r="H583" s="120">
        <f>SUMIF(Autres!$O$21:$O$30,"20%",Autres!H21:H30)</f>
        <v>0</v>
      </c>
      <c r="I583" s="120">
        <f>SUMIF(Autres!$O$21:$O$30,"20%",Autres!I21:I30)</f>
        <v>0</v>
      </c>
      <c r="J583" s="120">
        <f>SUMIF(Autres!$O$21:$O$30,"20%",Autres!J21:J30)</f>
        <v>0</v>
      </c>
      <c r="K583" s="120">
        <f>SUMIF(Autres!$O$21:$O$30,"20%",Autres!K21:K30)</f>
        <v>0</v>
      </c>
      <c r="L583" s="120">
        <f>SUMIF(Autres!$O$21:$O$30,"20%",Autres!L21:L30)</f>
        <v>0</v>
      </c>
      <c r="M583" s="120">
        <f>SUMIF(Autres!$O$21:$O$30,"20%",Autres!M21:M30)</f>
        <v>0</v>
      </c>
      <c r="N583" s="120">
        <f>SUMIF(Autres!$O$21:$O$30,"20%",Autres!N21:N30)</f>
        <v>0</v>
      </c>
      <c r="O583" s="120">
        <f t="shared" ref="O583:O587" si="128">SUM(C583:N583)</f>
        <v>0</v>
      </c>
      <c r="P583" s="31"/>
      <c r="Q583" s="31"/>
      <c r="R583" s="31"/>
      <c r="S583" s="31"/>
      <c r="T583" s="31"/>
      <c r="U583" s="39"/>
    </row>
    <row r="584" spans="1:21" x14ac:dyDescent="0.25">
      <c r="A584" s="31"/>
      <c r="B584" s="117" t="s">
        <v>437</v>
      </c>
      <c r="C584" s="120">
        <f>SUMIF(Autres!$O$21:$O$30,"0%",Autres!C21:C30)</f>
        <v>0</v>
      </c>
      <c r="D584" s="120">
        <f>SUMIF(Autres!$O$21:$O$30,"0%",Autres!D21:D30)</f>
        <v>0</v>
      </c>
      <c r="E584" s="120">
        <f>SUMIF(Autres!$O$21:$O$30,"0%",Autres!E21:E30)</f>
        <v>0</v>
      </c>
      <c r="F584" s="120">
        <f>SUMIF(Autres!$O$21:$O$30,"0%",Autres!F21:F30)</f>
        <v>0</v>
      </c>
      <c r="G584" s="120">
        <f>SUMIF(Autres!$O$21:$O$30,"0%",Autres!G21:G30)</f>
        <v>0</v>
      </c>
      <c r="H584" s="120">
        <f>SUMIF(Autres!$O$21:$O$30,"0%",Autres!H21:H30)</f>
        <v>0</v>
      </c>
      <c r="I584" s="120">
        <f>SUMIF(Autres!$O$21:$O$30,"0%",Autres!I21:I30)</f>
        <v>0</v>
      </c>
      <c r="J584" s="120">
        <f>SUMIF(Autres!$O$21:$O$30,"0%",Autres!J21:J30)</f>
        <v>0</v>
      </c>
      <c r="K584" s="120">
        <f>SUMIF(Autres!$O$21:$O$30,"0%",Autres!K21:K30)</f>
        <v>0</v>
      </c>
      <c r="L584" s="120">
        <f>SUMIF(Autres!$O$21:$O$30,"0%",Autres!L21:L30)</f>
        <v>0</v>
      </c>
      <c r="M584" s="120">
        <f>SUMIF(Autres!$O$21:$O$30,"0%",Autres!M21:M30)</f>
        <v>0</v>
      </c>
      <c r="N584" s="120">
        <f>SUMIF(Autres!$O$21:$O$30,"0%",Autres!N21:N30)</f>
        <v>0</v>
      </c>
      <c r="O584" s="120">
        <f t="shared" si="128"/>
        <v>0</v>
      </c>
      <c r="P584" s="31"/>
      <c r="Q584" s="31"/>
      <c r="R584" s="31"/>
      <c r="S584" s="31"/>
      <c r="T584" s="31"/>
      <c r="U584" s="39"/>
    </row>
    <row r="585" spans="1:21" x14ac:dyDescent="0.25">
      <c r="A585" s="31"/>
      <c r="B585" s="117" t="s">
        <v>380</v>
      </c>
      <c r="C585" s="120">
        <f>C583*20%</f>
        <v>0</v>
      </c>
      <c r="D585" s="120">
        <f t="shared" ref="D585:N585" si="129">D583*20%</f>
        <v>0</v>
      </c>
      <c r="E585" s="120">
        <f t="shared" si="129"/>
        <v>0</v>
      </c>
      <c r="F585" s="120">
        <f t="shared" si="129"/>
        <v>0</v>
      </c>
      <c r="G585" s="120">
        <f t="shared" si="129"/>
        <v>0</v>
      </c>
      <c r="H585" s="120">
        <f t="shared" si="129"/>
        <v>0</v>
      </c>
      <c r="I585" s="120">
        <f t="shared" si="129"/>
        <v>0</v>
      </c>
      <c r="J585" s="120">
        <f t="shared" si="129"/>
        <v>0</v>
      </c>
      <c r="K585" s="120">
        <f t="shared" si="129"/>
        <v>0</v>
      </c>
      <c r="L585" s="120">
        <f t="shared" si="129"/>
        <v>0</v>
      </c>
      <c r="M585" s="120">
        <f t="shared" si="129"/>
        <v>0</v>
      </c>
      <c r="N585" s="120">
        <f t="shared" si="129"/>
        <v>0</v>
      </c>
      <c r="O585" s="120">
        <f t="shared" si="128"/>
        <v>0</v>
      </c>
      <c r="P585" s="31"/>
      <c r="Q585" s="31"/>
      <c r="R585" s="31"/>
      <c r="S585" s="31"/>
      <c r="T585" s="31"/>
      <c r="U585" s="39"/>
    </row>
    <row r="586" spans="1:21" x14ac:dyDescent="0.25">
      <c r="A586" s="31"/>
      <c r="B586" s="117" t="s">
        <v>438</v>
      </c>
      <c r="C586" s="120">
        <f>+C585+C582</f>
        <v>0</v>
      </c>
      <c r="D586" s="120">
        <f t="shared" ref="D586:N586" si="130">+D585+D582</f>
        <v>0</v>
      </c>
      <c r="E586" s="120">
        <f t="shared" si="130"/>
        <v>0</v>
      </c>
      <c r="F586" s="120">
        <f t="shared" si="130"/>
        <v>0</v>
      </c>
      <c r="G586" s="120">
        <f t="shared" si="130"/>
        <v>0</v>
      </c>
      <c r="H586" s="120">
        <f t="shared" si="130"/>
        <v>0</v>
      </c>
      <c r="I586" s="120">
        <f t="shared" si="130"/>
        <v>0</v>
      </c>
      <c r="J586" s="120">
        <f t="shared" si="130"/>
        <v>0</v>
      </c>
      <c r="K586" s="120">
        <f t="shared" si="130"/>
        <v>0</v>
      </c>
      <c r="L586" s="120">
        <f t="shared" si="130"/>
        <v>0</v>
      </c>
      <c r="M586" s="120">
        <f t="shared" si="130"/>
        <v>0</v>
      </c>
      <c r="N586" s="120">
        <f t="shared" si="130"/>
        <v>0</v>
      </c>
      <c r="O586" s="120">
        <f t="shared" si="128"/>
        <v>0</v>
      </c>
      <c r="P586" s="31"/>
      <c r="Q586" s="31"/>
      <c r="R586" s="31"/>
      <c r="S586" s="31"/>
      <c r="T586" s="31"/>
      <c r="U586" s="39"/>
    </row>
    <row r="587" spans="1:21" x14ac:dyDescent="0.25">
      <c r="A587" s="31"/>
      <c r="B587" s="117" t="s">
        <v>439</v>
      </c>
      <c r="C587" s="120">
        <f>C586</f>
        <v>0</v>
      </c>
      <c r="D587" s="120">
        <f t="shared" ref="D587:N587" si="131">D586</f>
        <v>0</v>
      </c>
      <c r="E587" s="120">
        <f t="shared" si="131"/>
        <v>0</v>
      </c>
      <c r="F587" s="120">
        <f t="shared" si="131"/>
        <v>0</v>
      </c>
      <c r="G587" s="120">
        <f t="shared" si="131"/>
        <v>0</v>
      </c>
      <c r="H587" s="120">
        <f t="shared" si="131"/>
        <v>0</v>
      </c>
      <c r="I587" s="120">
        <f t="shared" si="131"/>
        <v>0</v>
      </c>
      <c r="J587" s="120">
        <f t="shared" si="131"/>
        <v>0</v>
      </c>
      <c r="K587" s="120">
        <f t="shared" si="131"/>
        <v>0</v>
      </c>
      <c r="L587" s="120">
        <f t="shared" si="131"/>
        <v>0</v>
      </c>
      <c r="M587" s="120">
        <f t="shared" si="131"/>
        <v>0</v>
      </c>
      <c r="N587" s="120">
        <f t="shared" si="131"/>
        <v>0</v>
      </c>
      <c r="O587" s="120">
        <f t="shared" si="128"/>
        <v>0</v>
      </c>
      <c r="P587" s="31"/>
      <c r="Q587" s="31"/>
      <c r="R587" s="31"/>
      <c r="S587" s="31"/>
      <c r="T587" s="31"/>
      <c r="U587" s="39"/>
    </row>
    <row r="588" spans="1:2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9"/>
    </row>
    <row r="589" spans="1:21" ht="18.75" x14ac:dyDescent="0.25">
      <c r="A589" s="31"/>
      <c r="B589" s="45" t="s">
        <v>147</v>
      </c>
      <c r="C589" s="46" t="s">
        <v>149</v>
      </c>
      <c r="D589" s="46" t="s">
        <v>150</v>
      </c>
      <c r="E589" s="46" t="s">
        <v>151</v>
      </c>
      <c r="F589" s="46" t="s">
        <v>152</v>
      </c>
      <c r="G589" s="46" t="s">
        <v>153</v>
      </c>
      <c r="H589" s="46" t="s">
        <v>154</v>
      </c>
      <c r="I589" s="46" t="s">
        <v>155</v>
      </c>
      <c r="J589" s="46" t="s">
        <v>156</v>
      </c>
      <c r="K589" s="46" t="s">
        <v>157</v>
      </c>
      <c r="L589" s="46" t="s">
        <v>158</v>
      </c>
      <c r="M589" s="46" t="s">
        <v>159</v>
      </c>
      <c r="N589" s="46" t="s">
        <v>160</v>
      </c>
      <c r="O589" s="46" t="s">
        <v>240</v>
      </c>
      <c r="P589" s="31"/>
      <c r="Q589" s="31"/>
      <c r="R589" s="31"/>
      <c r="S589" s="31"/>
      <c r="T589" s="31"/>
      <c r="U589" s="39"/>
    </row>
    <row r="590" spans="1:21" x14ac:dyDescent="0.25">
      <c r="A590" s="31"/>
      <c r="B590" s="117" t="s">
        <v>435</v>
      </c>
      <c r="C590" s="120">
        <f>Autres!C44</f>
        <v>0</v>
      </c>
      <c r="D590" s="120">
        <f>Autres!D44</f>
        <v>0</v>
      </c>
      <c r="E590" s="120">
        <f>Autres!E44</f>
        <v>0</v>
      </c>
      <c r="F590" s="120">
        <f>Autres!F44</f>
        <v>0</v>
      </c>
      <c r="G590" s="120">
        <f>Autres!G44</f>
        <v>0</v>
      </c>
      <c r="H590" s="120">
        <f>Autres!H44</f>
        <v>0</v>
      </c>
      <c r="I590" s="120">
        <f>Autres!I44</f>
        <v>0</v>
      </c>
      <c r="J590" s="120">
        <f>Autres!J44</f>
        <v>0</v>
      </c>
      <c r="K590" s="120">
        <f>Autres!K44</f>
        <v>0</v>
      </c>
      <c r="L590" s="120">
        <f>Autres!L44</f>
        <v>0</v>
      </c>
      <c r="M590" s="120">
        <f>Autres!M44</f>
        <v>0</v>
      </c>
      <c r="N590" s="120">
        <f>Autres!N44</f>
        <v>0</v>
      </c>
      <c r="O590" s="120">
        <f>SUM(C590:N590)</f>
        <v>0</v>
      </c>
      <c r="P590" s="31"/>
      <c r="Q590" s="31"/>
      <c r="R590" s="31"/>
      <c r="S590" s="31"/>
      <c r="T590" s="31"/>
      <c r="U590" s="39"/>
    </row>
    <row r="591" spans="1:21" x14ac:dyDescent="0.25">
      <c r="A591" s="31"/>
      <c r="B591" s="117" t="s">
        <v>436</v>
      </c>
      <c r="C591" s="120">
        <f>SUMIF(Autres!$O$34:$O$43,"20%",Autres!C34:C43)</f>
        <v>0</v>
      </c>
      <c r="D591" s="120">
        <f>SUMIF(Autres!$O$34:$O$43,"20%",Autres!D34:D43)</f>
        <v>0</v>
      </c>
      <c r="E591" s="120">
        <f>SUMIF(Autres!$O$34:$O$43,"20%",Autres!E34:E43)</f>
        <v>0</v>
      </c>
      <c r="F591" s="120">
        <f>SUMIF(Autres!$O$34:$O$43,"20%",Autres!F34:F43)</f>
        <v>0</v>
      </c>
      <c r="G591" s="120">
        <f>SUMIF(Autres!$O$34:$O$43,"20%",Autres!G34:G43)</f>
        <v>0</v>
      </c>
      <c r="H591" s="120">
        <f>SUMIF(Autres!$O$34:$O$43,"20%",Autres!H34:H43)</f>
        <v>0</v>
      </c>
      <c r="I591" s="120">
        <f>SUMIF(Autres!$O$34:$O$43,"20%",Autres!I34:I43)</f>
        <v>0</v>
      </c>
      <c r="J591" s="120">
        <f>SUMIF(Autres!$O$34:$O$43,"20%",Autres!J34:J43)</f>
        <v>0</v>
      </c>
      <c r="K591" s="120">
        <f>SUMIF(Autres!$O$34:$O$43,"20%",Autres!K34:K43)</f>
        <v>0</v>
      </c>
      <c r="L591" s="120">
        <f>SUMIF(Autres!$O$34:$O$43,"20%",Autres!L34:L43)</f>
        <v>0</v>
      </c>
      <c r="M591" s="120">
        <f>SUMIF(Autres!$O$34:$O$43,"20%",Autres!M34:M43)</f>
        <v>0</v>
      </c>
      <c r="N591" s="120">
        <f>SUMIF(Autres!$O$34:$O$43,"20%",Autres!N34:N43)</f>
        <v>0</v>
      </c>
      <c r="O591" s="120">
        <f t="shared" ref="O591:O595" si="132">SUM(C591:N591)</f>
        <v>0</v>
      </c>
      <c r="P591" s="31"/>
      <c r="Q591" s="31"/>
      <c r="R591" s="31"/>
      <c r="S591" s="31"/>
      <c r="T591" s="31"/>
      <c r="U591" s="39"/>
    </row>
    <row r="592" spans="1:21" x14ac:dyDescent="0.25">
      <c r="A592" s="31"/>
      <c r="B592" s="117" t="s">
        <v>437</v>
      </c>
      <c r="C592" s="120">
        <f>SUMIF(Autres!$O$34:$O$43,"0%",Autres!C34:C43)</f>
        <v>0</v>
      </c>
      <c r="D592" s="120">
        <f>SUMIF(Autres!$O$34:$O$43,"0%",Autres!D34:D43)</f>
        <v>0</v>
      </c>
      <c r="E592" s="120">
        <f>SUMIF(Autres!$O$34:$O$43,"0%",Autres!E34:E43)</f>
        <v>0</v>
      </c>
      <c r="F592" s="120">
        <f>SUMIF(Autres!$O$34:$O$43,"0%",Autres!F34:F43)</f>
        <v>0</v>
      </c>
      <c r="G592" s="120">
        <f>SUMIF(Autres!$O$34:$O$43,"0%",Autres!G34:G43)</f>
        <v>0</v>
      </c>
      <c r="H592" s="120">
        <f>SUMIF(Autres!$O$34:$O$43,"0%",Autres!H34:H43)</f>
        <v>0</v>
      </c>
      <c r="I592" s="120">
        <f>SUMIF(Autres!$O$34:$O$43,"0%",Autres!I34:I43)</f>
        <v>0</v>
      </c>
      <c r="J592" s="120">
        <f>SUMIF(Autres!$O$34:$O$43,"0%",Autres!J34:J43)</f>
        <v>0</v>
      </c>
      <c r="K592" s="120">
        <f>SUMIF(Autres!$O$34:$O$43,"0%",Autres!K34:K43)</f>
        <v>0</v>
      </c>
      <c r="L592" s="120">
        <f>SUMIF(Autres!$O$34:$O$43,"0%",Autres!L34:L43)</f>
        <v>0</v>
      </c>
      <c r="M592" s="120">
        <f>SUMIF(Autres!$O$34:$O$43,"0%",Autres!M34:M43)</f>
        <v>0</v>
      </c>
      <c r="N592" s="120">
        <f>SUMIF(Autres!$O$34:$O$43,"0%",Autres!N34:N43)</f>
        <v>0</v>
      </c>
      <c r="O592" s="120">
        <f t="shared" si="132"/>
        <v>0</v>
      </c>
      <c r="P592" s="31"/>
      <c r="Q592" s="31"/>
      <c r="R592" s="31"/>
      <c r="S592" s="31"/>
      <c r="T592" s="31"/>
      <c r="U592" s="39"/>
    </row>
    <row r="593" spans="1:21" x14ac:dyDescent="0.25">
      <c r="A593" s="31"/>
      <c r="B593" s="117" t="s">
        <v>380</v>
      </c>
      <c r="C593" s="120">
        <f>C591*20%</f>
        <v>0</v>
      </c>
      <c r="D593" s="120">
        <f t="shared" ref="D593:N593" si="133">D591*20%</f>
        <v>0</v>
      </c>
      <c r="E593" s="120">
        <f t="shared" si="133"/>
        <v>0</v>
      </c>
      <c r="F593" s="120">
        <f t="shared" si="133"/>
        <v>0</v>
      </c>
      <c r="G593" s="120">
        <f t="shared" si="133"/>
        <v>0</v>
      </c>
      <c r="H593" s="120">
        <f t="shared" si="133"/>
        <v>0</v>
      </c>
      <c r="I593" s="120">
        <f t="shared" si="133"/>
        <v>0</v>
      </c>
      <c r="J593" s="120">
        <f t="shared" si="133"/>
        <v>0</v>
      </c>
      <c r="K593" s="120">
        <f t="shared" si="133"/>
        <v>0</v>
      </c>
      <c r="L593" s="120">
        <f t="shared" si="133"/>
        <v>0</v>
      </c>
      <c r="M593" s="120">
        <f t="shared" si="133"/>
        <v>0</v>
      </c>
      <c r="N593" s="120">
        <f t="shared" si="133"/>
        <v>0</v>
      </c>
      <c r="O593" s="120">
        <f t="shared" si="132"/>
        <v>0</v>
      </c>
      <c r="P593" s="31"/>
      <c r="Q593" s="31"/>
      <c r="R593" s="31"/>
      <c r="S593" s="31"/>
      <c r="T593" s="31"/>
      <c r="U593" s="39"/>
    </row>
    <row r="594" spans="1:21" x14ac:dyDescent="0.25">
      <c r="A594" s="31"/>
      <c r="B594" s="117" t="s">
        <v>438</v>
      </c>
      <c r="C594" s="120">
        <f>+C593+C590</f>
        <v>0</v>
      </c>
      <c r="D594" s="120">
        <f t="shared" ref="D594" si="134">+D593+D590</f>
        <v>0</v>
      </c>
      <c r="E594" s="120">
        <f t="shared" ref="E594" si="135">+E593+E590</f>
        <v>0</v>
      </c>
      <c r="F594" s="120">
        <f t="shared" ref="F594" si="136">+F593+F590</f>
        <v>0</v>
      </c>
      <c r="G594" s="120">
        <f t="shared" ref="G594" si="137">+G593+G590</f>
        <v>0</v>
      </c>
      <c r="H594" s="120">
        <f t="shared" ref="H594" si="138">+H593+H590</f>
        <v>0</v>
      </c>
      <c r="I594" s="120">
        <f t="shared" ref="I594" si="139">+I593+I590</f>
        <v>0</v>
      </c>
      <c r="J594" s="120">
        <f t="shared" ref="J594" si="140">+J593+J590</f>
        <v>0</v>
      </c>
      <c r="K594" s="120">
        <f t="shared" ref="K594" si="141">+K593+K590</f>
        <v>0</v>
      </c>
      <c r="L594" s="120">
        <f t="shared" ref="L594" si="142">+L593+L590</f>
        <v>0</v>
      </c>
      <c r="M594" s="120">
        <f t="shared" ref="M594" si="143">+M593+M590</f>
        <v>0</v>
      </c>
      <c r="N594" s="120">
        <f t="shared" ref="N594" si="144">+N593+N590</f>
        <v>0</v>
      </c>
      <c r="O594" s="120">
        <f t="shared" si="132"/>
        <v>0</v>
      </c>
      <c r="P594" s="31"/>
      <c r="Q594" s="31"/>
      <c r="R594" s="31"/>
      <c r="S594" s="31"/>
      <c r="T594" s="31"/>
      <c r="U594" s="39"/>
    </row>
    <row r="595" spans="1:21" x14ac:dyDescent="0.25">
      <c r="A595" s="31"/>
      <c r="B595" s="117" t="s">
        <v>439</v>
      </c>
      <c r="C595" s="120">
        <f>C594</f>
        <v>0</v>
      </c>
      <c r="D595" s="120">
        <f t="shared" ref="D595" si="145">D594</f>
        <v>0</v>
      </c>
      <c r="E595" s="120">
        <f t="shared" ref="E595" si="146">E594</f>
        <v>0</v>
      </c>
      <c r="F595" s="120">
        <f t="shared" ref="F595" si="147">F594</f>
        <v>0</v>
      </c>
      <c r="G595" s="120">
        <f t="shared" ref="G595" si="148">G594</f>
        <v>0</v>
      </c>
      <c r="H595" s="120">
        <f t="shared" ref="H595" si="149">H594</f>
        <v>0</v>
      </c>
      <c r="I595" s="120">
        <f t="shared" ref="I595" si="150">I594</f>
        <v>0</v>
      </c>
      <c r="J595" s="120">
        <f t="shared" ref="J595" si="151">J594</f>
        <v>0</v>
      </c>
      <c r="K595" s="120">
        <f t="shared" ref="K595" si="152">K594</f>
        <v>0</v>
      </c>
      <c r="L595" s="120">
        <f t="shared" ref="L595" si="153">L594</f>
        <v>0</v>
      </c>
      <c r="M595" s="120">
        <f t="shared" ref="M595" si="154">M594</f>
        <v>0</v>
      </c>
      <c r="N595" s="120">
        <f t="shared" ref="N595" si="155">N594</f>
        <v>0</v>
      </c>
      <c r="O595" s="120">
        <f t="shared" si="132"/>
        <v>0</v>
      </c>
      <c r="P595" s="31"/>
      <c r="Q595" s="31"/>
      <c r="R595" s="31"/>
      <c r="S595" s="31"/>
      <c r="T595" s="31"/>
      <c r="U595" s="39"/>
    </row>
    <row r="596" spans="1:2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9"/>
    </row>
    <row r="597" spans="1:21" ht="18.75" x14ac:dyDescent="0.25">
      <c r="A597" s="31"/>
      <c r="B597" s="45" t="s">
        <v>148</v>
      </c>
      <c r="C597" s="46" t="s">
        <v>149</v>
      </c>
      <c r="D597" s="46" t="s">
        <v>150</v>
      </c>
      <c r="E597" s="46" t="s">
        <v>151</v>
      </c>
      <c r="F597" s="46" t="s">
        <v>152</v>
      </c>
      <c r="G597" s="46" t="s">
        <v>153</v>
      </c>
      <c r="H597" s="46" t="s">
        <v>154</v>
      </c>
      <c r="I597" s="46" t="s">
        <v>155</v>
      </c>
      <c r="J597" s="46" t="s">
        <v>156</v>
      </c>
      <c r="K597" s="46" t="s">
        <v>157</v>
      </c>
      <c r="L597" s="46" t="s">
        <v>158</v>
      </c>
      <c r="M597" s="46" t="s">
        <v>159</v>
      </c>
      <c r="N597" s="46" t="s">
        <v>160</v>
      </c>
      <c r="O597" s="46" t="s">
        <v>240</v>
      </c>
      <c r="P597" s="31"/>
      <c r="Q597" s="31"/>
      <c r="R597" s="31"/>
      <c r="S597" s="31"/>
      <c r="T597" s="31"/>
      <c r="U597" s="39"/>
    </row>
    <row r="598" spans="1:21" x14ac:dyDescent="0.25">
      <c r="A598" s="31"/>
      <c r="B598" s="117" t="s">
        <v>435</v>
      </c>
      <c r="C598" s="120">
        <f>Autres!C57</f>
        <v>0</v>
      </c>
      <c r="D598" s="120">
        <f>Autres!D57</f>
        <v>0</v>
      </c>
      <c r="E598" s="120">
        <f>Autres!E57</f>
        <v>0</v>
      </c>
      <c r="F598" s="120">
        <f>Autres!F57</f>
        <v>0</v>
      </c>
      <c r="G598" s="120">
        <f>Autres!G57</f>
        <v>0</v>
      </c>
      <c r="H598" s="120">
        <f>Autres!H57</f>
        <v>0</v>
      </c>
      <c r="I598" s="120">
        <f>Autres!I57</f>
        <v>0</v>
      </c>
      <c r="J598" s="120">
        <f>Autres!J57</f>
        <v>0</v>
      </c>
      <c r="K598" s="120">
        <f>Autres!K57</f>
        <v>0</v>
      </c>
      <c r="L598" s="120">
        <f>Autres!L57</f>
        <v>0</v>
      </c>
      <c r="M598" s="120">
        <f>Autres!M57</f>
        <v>0</v>
      </c>
      <c r="N598" s="120">
        <f>Autres!N57</f>
        <v>0</v>
      </c>
      <c r="O598" s="120">
        <f>SUM(C598:N598)</f>
        <v>0</v>
      </c>
      <c r="P598" s="31"/>
      <c r="Q598" s="31"/>
      <c r="R598" s="31"/>
      <c r="S598" s="31"/>
      <c r="T598" s="31"/>
      <c r="U598" s="39"/>
    </row>
    <row r="599" spans="1:21" x14ac:dyDescent="0.25">
      <c r="A599" s="31"/>
      <c r="B599" s="117" t="s">
        <v>436</v>
      </c>
      <c r="C599" s="120">
        <f>SUMIF(Autres!$O$47:$O$56,"20%",Autres!C47:C56)</f>
        <v>0</v>
      </c>
      <c r="D599" s="120">
        <f>SUMIF(Autres!$O$47:$O$56,"20%",Autres!D47:D56)</f>
        <v>0</v>
      </c>
      <c r="E599" s="120">
        <f>SUMIF(Autres!$O$47:$O$56,"20%",Autres!E47:E56)</f>
        <v>0</v>
      </c>
      <c r="F599" s="120">
        <f>SUMIF(Autres!$O$47:$O$56,"20%",Autres!F47:F56)</f>
        <v>0</v>
      </c>
      <c r="G599" s="120">
        <f>SUMIF(Autres!$O$47:$O$56,"20%",Autres!G47:G56)</f>
        <v>0</v>
      </c>
      <c r="H599" s="120">
        <f>SUMIF(Autres!$O$47:$O$56,"20%",Autres!H47:H56)</f>
        <v>0</v>
      </c>
      <c r="I599" s="120">
        <f>SUMIF(Autres!$O$47:$O$56,"20%",Autres!I47:I56)</f>
        <v>0</v>
      </c>
      <c r="J599" s="120">
        <f>SUMIF(Autres!$O$47:$O$56,"20%",Autres!J47:J56)</f>
        <v>0</v>
      </c>
      <c r="K599" s="120">
        <f>SUMIF(Autres!$O$47:$O$56,"20%",Autres!K47:K56)</f>
        <v>0</v>
      </c>
      <c r="L599" s="120">
        <f>SUMIF(Autres!$O$47:$O$56,"20%",Autres!L47:L56)</f>
        <v>0</v>
      </c>
      <c r="M599" s="120">
        <f>SUMIF(Autres!$O$47:$O$56,"20%",Autres!M47:M56)</f>
        <v>0</v>
      </c>
      <c r="N599" s="120">
        <f>SUMIF(Autres!$O$47:$O$56,"20%",Autres!N47:N56)</f>
        <v>0</v>
      </c>
      <c r="O599" s="120">
        <f t="shared" ref="O599:O603" si="156">SUM(C599:N599)</f>
        <v>0</v>
      </c>
      <c r="P599" s="31"/>
      <c r="Q599" s="31"/>
      <c r="R599" s="31"/>
      <c r="S599" s="31"/>
      <c r="T599" s="31"/>
      <c r="U599" s="39"/>
    </row>
    <row r="600" spans="1:21" x14ac:dyDescent="0.25">
      <c r="A600" s="31"/>
      <c r="B600" s="117" t="s">
        <v>437</v>
      </c>
      <c r="C600" s="120">
        <f>SUMIF(Autres!$O$47:$O$56,"0%",Autres!C47:C56)</f>
        <v>0</v>
      </c>
      <c r="D600" s="120">
        <f>SUMIF(Autres!$O$47:$O$56,"0%",Autres!D47:D56)</f>
        <v>0</v>
      </c>
      <c r="E600" s="120">
        <f>SUMIF(Autres!$O$47:$O$56,"0%",Autres!E47:E56)</f>
        <v>0</v>
      </c>
      <c r="F600" s="120">
        <f>SUMIF(Autres!$O$47:$O$56,"0%",Autres!F47:F56)</f>
        <v>0</v>
      </c>
      <c r="G600" s="120">
        <f>SUMIF(Autres!$O$47:$O$56,"0%",Autres!G47:G56)</f>
        <v>0</v>
      </c>
      <c r="H600" s="120">
        <f>SUMIF(Autres!$O$47:$O$56,"0%",Autres!H47:H56)</f>
        <v>0</v>
      </c>
      <c r="I600" s="120">
        <f>SUMIF(Autres!$O$47:$O$56,"0%",Autres!I47:I56)</f>
        <v>0</v>
      </c>
      <c r="J600" s="120">
        <f>SUMIF(Autres!$O$47:$O$56,"0%",Autres!J47:J56)</f>
        <v>0</v>
      </c>
      <c r="K600" s="120">
        <f>SUMIF(Autres!$O$47:$O$56,"0%",Autres!K47:K56)</f>
        <v>0</v>
      </c>
      <c r="L600" s="120">
        <f>SUMIF(Autres!$O$47:$O$56,"0%",Autres!L47:L56)</f>
        <v>0</v>
      </c>
      <c r="M600" s="120">
        <f>SUMIF(Autres!$O$47:$O$56,"0%",Autres!M47:M56)</f>
        <v>0</v>
      </c>
      <c r="N600" s="120">
        <f>SUMIF(Autres!$O$47:$O$56,"0%",Autres!N47:N56)</f>
        <v>0</v>
      </c>
      <c r="O600" s="120">
        <f t="shared" si="156"/>
        <v>0</v>
      </c>
      <c r="P600" s="31"/>
      <c r="Q600" s="31"/>
      <c r="R600" s="31"/>
      <c r="S600" s="31"/>
      <c r="T600" s="31"/>
      <c r="U600" s="39"/>
    </row>
    <row r="601" spans="1:21" x14ac:dyDescent="0.25">
      <c r="A601" s="31"/>
      <c r="B601" s="117" t="s">
        <v>380</v>
      </c>
      <c r="C601" s="120">
        <f>C599*20%</f>
        <v>0</v>
      </c>
      <c r="D601" s="120">
        <f t="shared" ref="D601:N601" si="157">D599*20%</f>
        <v>0</v>
      </c>
      <c r="E601" s="120">
        <f t="shared" si="157"/>
        <v>0</v>
      </c>
      <c r="F601" s="120">
        <f t="shared" si="157"/>
        <v>0</v>
      </c>
      <c r="G601" s="120">
        <f t="shared" si="157"/>
        <v>0</v>
      </c>
      <c r="H601" s="120">
        <f t="shared" si="157"/>
        <v>0</v>
      </c>
      <c r="I601" s="120">
        <f t="shared" si="157"/>
        <v>0</v>
      </c>
      <c r="J601" s="120">
        <f t="shared" si="157"/>
        <v>0</v>
      </c>
      <c r="K601" s="120">
        <f t="shared" si="157"/>
        <v>0</v>
      </c>
      <c r="L601" s="120">
        <f t="shared" si="157"/>
        <v>0</v>
      </c>
      <c r="M601" s="120">
        <f t="shared" si="157"/>
        <v>0</v>
      </c>
      <c r="N601" s="120">
        <f t="shared" si="157"/>
        <v>0</v>
      </c>
      <c r="O601" s="120">
        <f t="shared" si="156"/>
        <v>0</v>
      </c>
      <c r="P601" s="31"/>
      <c r="Q601" s="31"/>
      <c r="R601" s="31"/>
      <c r="S601" s="31"/>
      <c r="T601" s="31"/>
      <c r="U601" s="39"/>
    </row>
    <row r="602" spans="1:21" x14ac:dyDescent="0.25">
      <c r="A602" s="31"/>
      <c r="B602" s="117" t="s">
        <v>438</v>
      </c>
      <c r="C602" s="120">
        <f>+C601+C598</f>
        <v>0</v>
      </c>
      <c r="D602" s="120">
        <f t="shared" ref="D602" si="158">+D601+D598</f>
        <v>0</v>
      </c>
      <c r="E602" s="120">
        <f t="shared" ref="E602" si="159">+E601+E598</f>
        <v>0</v>
      </c>
      <c r="F602" s="120">
        <f t="shared" ref="F602" si="160">+F601+F598</f>
        <v>0</v>
      </c>
      <c r="G602" s="120">
        <f t="shared" ref="G602" si="161">+G601+G598</f>
        <v>0</v>
      </c>
      <c r="H602" s="120">
        <f t="shared" ref="H602" si="162">+H601+H598</f>
        <v>0</v>
      </c>
      <c r="I602" s="120">
        <f t="shared" ref="I602" si="163">+I601+I598</f>
        <v>0</v>
      </c>
      <c r="J602" s="120">
        <f t="shared" ref="J602" si="164">+J601+J598</f>
        <v>0</v>
      </c>
      <c r="K602" s="120">
        <f t="shared" ref="K602" si="165">+K601+K598</f>
        <v>0</v>
      </c>
      <c r="L602" s="120">
        <f t="shared" ref="L602" si="166">+L601+L598</f>
        <v>0</v>
      </c>
      <c r="M602" s="120">
        <f t="shared" ref="M602" si="167">+M601+M598</f>
        <v>0</v>
      </c>
      <c r="N602" s="120">
        <f t="shared" ref="N602" si="168">+N601+N598</f>
        <v>0</v>
      </c>
      <c r="O602" s="120">
        <f t="shared" si="156"/>
        <v>0</v>
      </c>
      <c r="P602" s="31"/>
      <c r="Q602" s="31"/>
      <c r="R602" s="31"/>
      <c r="S602" s="31"/>
      <c r="T602" s="31"/>
      <c r="U602" s="39"/>
    </row>
    <row r="603" spans="1:21" x14ac:dyDescent="0.25">
      <c r="A603" s="31"/>
      <c r="B603" s="117" t="s">
        <v>439</v>
      </c>
      <c r="C603" s="120">
        <f>C602</f>
        <v>0</v>
      </c>
      <c r="D603" s="120">
        <f t="shared" ref="D603" si="169">D602</f>
        <v>0</v>
      </c>
      <c r="E603" s="120">
        <f t="shared" ref="E603" si="170">E602</f>
        <v>0</v>
      </c>
      <c r="F603" s="120">
        <f t="shared" ref="F603" si="171">F602</f>
        <v>0</v>
      </c>
      <c r="G603" s="120">
        <f t="shared" ref="G603" si="172">G602</f>
        <v>0</v>
      </c>
      <c r="H603" s="120">
        <f t="shared" ref="H603" si="173">H602</f>
        <v>0</v>
      </c>
      <c r="I603" s="120">
        <f t="shared" ref="I603" si="174">I602</f>
        <v>0</v>
      </c>
      <c r="J603" s="120">
        <f t="shared" ref="J603" si="175">J602</f>
        <v>0</v>
      </c>
      <c r="K603" s="120">
        <f t="shared" ref="K603" si="176">K602</f>
        <v>0</v>
      </c>
      <c r="L603" s="120">
        <f t="shared" ref="L603" si="177">L602</f>
        <v>0</v>
      </c>
      <c r="M603" s="120">
        <f t="shared" ref="M603" si="178">M602</f>
        <v>0</v>
      </c>
      <c r="N603" s="120">
        <f t="shared" ref="N603" si="179">N602</f>
        <v>0</v>
      </c>
      <c r="O603" s="120">
        <f t="shared" si="156"/>
        <v>0</v>
      </c>
      <c r="P603" s="31"/>
      <c r="Q603" s="31"/>
      <c r="R603" s="31"/>
      <c r="S603" s="31"/>
      <c r="T603" s="31"/>
      <c r="U603" s="39"/>
    </row>
    <row r="604" spans="1:2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9"/>
    </row>
    <row r="605" spans="1:21" ht="18.75" x14ac:dyDescent="0.3">
      <c r="A605" s="31"/>
      <c r="B605" s="281" t="s">
        <v>84</v>
      </c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9"/>
    </row>
    <row r="606" spans="1:2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9"/>
    </row>
    <row r="607" spans="1:21" ht="18.75" x14ac:dyDescent="0.25">
      <c r="A607" s="31"/>
      <c r="B607" s="45" t="s">
        <v>146</v>
      </c>
      <c r="C607" s="46" t="s">
        <v>149</v>
      </c>
      <c r="D607" s="46" t="s">
        <v>150</v>
      </c>
      <c r="E607" s="46" t="s">
        <v>151</v>
      </c>
      <c r="F607" s="46" t="s">
        <v>152</v>
      </c>
      <c r="G607" s="46" t="s">
        <v>153</v>
      </c>
      <c r="H607" s="46" t="s">
        <v>154</v>
      </c>
      <c r="I607" s="46" t="s">
        <v>155</v>
      </c>
      <c r="J607" s="46" t="s">
        <v>156</v>
      </c>
      <c r="K607" s="46" t="s">
        <v>157</v>
      </c>
      <c r="L607" s="46" t="s">
        <v>158</v>
      </c>
      <c r="M607" s="46" t="s">
        <v>159</v>
      </c>
      <c r="N607" s="46" t="s">
        <v>160</v>
      </c>
      <c r="O607" s="46" t="s">
        <v>240</v>
      </c>
      <c r="P607" s="31"/>
      <c r="Q607" s="31"/>
      <c r="R607" s="31"/>
      <c r="S607" s="31"/>
      <c r="T607" s="31"/>
      <c r="U607" s="39"/>
    </row>
    <row r="608" spans="1:21" x14ac:dyDescent="0.25">
      <c r="A608" s="31"/>
      <c r="B608" s="117" t="s">
        <v>435</v>
      </c>
      <c r="C608" s="120">
        <f>Autres!C72</f>
        <v>0</v>
      </c>
      <c r="D608" s="120">
        <f>Autres!D72</f>
        <v>0</v>
      </c>
      <c r="E608" s="120">
        <f>Autres!E72</f>
        <v>0</v>
      </c>
      <c r="F608" s="120">
        <f>Autres!F72</f>
        <v>0</v>
      </c>
      <c r="G608" s="120">
        <f>Autres!G72</f>
        <v>0</v>
      </c>
      <c r="H608" s="120">
        <f>Autres!H72</f>
        <v>0</v>
      </c>
      <c r="I608" s="120">
        <f>Autres!I72</f>
        <v>0</v>
      </c>
      <c r="J608" s="120">
        <f>Autres!J72</f>
        <v>0</v>
      </c>
      <c r="K608" s="120">
        <f>Autres!K72</f>
        <v>0</v>
      </c>
      <c r="L608" s="120">
        <f>Autres!L72</f>
        <v>0</v>
      </c>
      <c r="M608" s="120">
        <f>Autres!M72</f>
        <v>0</v>
      </c>
      <c r="N608" s="120">
        <f>Autres!N72</f>
        <v>0</v>
      </c>
      <c r="O608" s="120">
        <f>SUM(C608:N608)</f>
        <v>0</v>
      </c>
      <c r="P608" s="31"/>
      <c r="Q608" s="31"/>
      <c r="R608" s="31"/>
      <c r="S608" s="31"/>
      <c r="T608" s="31"/>
      <c r="U608" s="39"/>
    </row>
    <row r="609" spans="1:21" x14ac:dyDescent="0.25">
      <c r="A609" s="31"/>
      <c r="B609" s="117" t="s">
        <v>436</v>
      </c>
      <c r="C609" s="120">
        <f>SUMIF(Autres!$O$62:$O$71,"20%",Autres!C62:C71)</f>
        <v>0</v>
      </c>
      <c r="D609" s="120">
        <f>SUMIF(Autres!$O$62:$O$71,"20%",Autres!D62:D71)</f>
        <v>0</v>
      </c>
      <c r="E609" s="120">
        <f>SUMIF(Autres!$O$62:$O$71,"20%",Autres!E62:E71)</f>
        <v>0</v>
      </c>
      <c r="F609" s="120">
        <f>SUMIF(Autres!$O$62:$O$71,"20%",Autres!F62:F71)</f>
        <v>0</v>
      </c>
      <c r="G609" s="120">
        <f>SUMIF(Autres!$O$62:$O$71,"20%",Autres!G62:G71)</f>
        <v>0</v>
      </c>
      <c r="H609" s="120">
        <f>SUMIF(Autres!$O$62:$O$71,"20%",Autres!H62:H71)</f>
        <v>0</v>
      </c>
      <c r="I609" s="120">
        <f>SUMIF(Autres!$O$62:$O$71,"20%",Autres!I62:I71)</f>
        <v>0</v>
      </c>
      <c r="J609" s="120">
        <f>SUMIF(Autres!$O$62:$O$71,"20%",Autres!J62:J71)</f>
        <v>0</v>
      </c>
      <c r="K609" s="120">
        <f>SUMIF(Autres!$O$62:$O$71,"20%",Autres!K62:K71)</f>
        <v>0</v>
      </c>
      <c r="L609" s="120">
        <f>SUMIF(Autres!$O$62:$O$71,"20%",Autres!L62:L71)</f>
        <v>0</v>
      </c>
      <c r="M609" s="120">
        <f>SUMIF(Autres!$O$62:$O$71,"20%",Autres!M62:M71)</f>
        <v>0</v>
      </c>
      <c r="N609" s="120">
        <f>SUMIF(Autres!$O$62:$O$71,"20%",Autres!N62:N71)</f>
        <v>0</v>
      </c>
      <c r="O609" s="120">
        <f t="shared" ref="O609:O612" si="180">SUM(C609:N609)</f>
        <v>0</v>
      </c>
      <c r="P609" s="31"/>
      <c r="Q609" s="31"/>
      <c r="R609" s="31"/>
      <c r="S609" s="31"/>
      <c r="T609" s="31"/>
      <c r="U609" s="39"/>
    </row>
    <row r="610" spans="1:21" x14ac:dyDescent="0.25">
      <c r="A610" s="31"/>
      <c r="B610" s="117" t="s">
        <v>437</v>
      </c>
      <c r="C610" s="120">
        <f>SUMIF(Autres!$O$62:$O$71,"0%",Autres!C62:C71)</f>
        <v>0</v>
      </c>
      <c r="D610" s="120">
        <f>SUMIF(Autres!$O$62:$O$71,"0%",Autres!D62:D71)</f>
        <v>0</v>
      </c>
      <c r="E610" s="120">
        <f>SUMIF(Autres!$O$62:$O$71,"0%",Autres!E62:E71)</f>
        <v>0</v>
      </c>
      <c r="F610" s="120">
        <f>SUMIF(Autres!$O$62:$O$71,"0%",Autres!F62:F71)</f>
        <v>0</v>
      </c>
      <c r="G610" s="120">
        <f>SUMIF(Autres!$O$62:$O$71,"0%",Autres!G62:G71)</f>
        <v>0</v>
      </c>
      <c r="H610" s="120">
        <f>SUMIF(Autres!$O$62:$O$71,"0%",Autres!H62:H71)</f>
        <v>0</v>
      </c>
      <c r="I610" s="120">
        <f>SUMIF(Autres!$O$62:$O$71,"0%",Autres!I62:I71)</f>
        <v>0</v>
      </c>
      <c r="J610" s="120">
        <f>SUMIF(Autres!$O$62:$O$71,"0%",Autres!J62:J71)</f>
        <v>0</v>
      </c>
      <c r="K610" s="120">
        <f>SUMIF(Autres!$O$62:$O$71,"0%",Autres!K62:K71)</f>
        <v>0</v>
      </c>
      <c r="L610" s="120">
        <f>SUMIF(Autres!$O$62:$O$71,"0%",Autres!L62:L71)</f>
        <v>0</v>
      </c>
      <c r="M610" s="120">
        <f>SUMIF(Autres!$O$62:$O$71,"0%",Autres!M62:M71)</f>
        <v>0</v>
      </c>
      <c r="N610" s="120">
        <f>SUMIF(Autres!$O$62:$O$71,"0%",Autres!N62:N71)</f>
        <v>0</v>
      </c>
      <c r="O610" s="120">
        <f t="shared" si="180"/>
        <v>0</v>
      </c>
      <c r="P610" s="31"/>
      <c r="Q610" s="31"/>
      <c r="R610" s="31"/>
      <c r="S610" s="31"/>
      <c r="T610" s="31"/>
      <c r="U610" s="39"/>
    </row>
    <row r="611" spans="1:21" x14ac:dyDescent="0.25">
      <c r="A611" s="31"/>
      <c r="B611" s="117" t="s">
        <v>55</v>
      </c>
      <c r="C611" s="120">
        <f>C609*20%</f>
        <v>0</v>
      </c>
      <c r="D611" s="120">
        <f t="shared" ref="D611:N611" si="181">D609*20%</f>
        <v>0</v>
      </c>
      <c r="E611" s="120">
        <f t="shared" si="181"/>
        <v>0</v>
      </c>
      <c r="F611" s="120">
        <f t="shared" si="181"/>
        <v>0</v>
      </c>
      <c r="G611" s="120">
        <f t="shared" si="181"/>
        <v>0</v>
      </c>
      <c r="H611" s="120">
        <f t="shared" si="181"/>
        <v>0</v>
      </c>
      <c r="I611" s="120">
        <f t="shared" si="181"/>
        <v>0</v>
      </c>
      <c r="J611" s="120">
        <f t="shared" si="181"/>
        <v>0</v>
      </c>
      <c r="K611" s="120">
        <f t="shared" si="181"/>
        <v>0</v>
      </c>
      <c r="L611" s="120">
        <f t="shared" si="181"/>
        <v>0</v>
      </c>
      <c r="M611" s="120">
        <f t="shared" si="181"/>
        <v>0</v>
      </c>
      <c r="N611" s="120">
        <f t="shared" si="181"/>
        <v>0</v>
      </c>
      <c r="O611" s="120">
        <f t="shared" si="180"/>
        <v>0</v>
      </c>
      <c r="P611" s="31"/>
      <c r="Q611" s="31"/>
      <c r="R611" s="31"/>
      <c r="S611" s="31"/>
      <c r="T611" s="31"/>
      <c r="U611" s="39"/>
    </row>
    <row r="612" spans="1:21" x14ac:dyDescent="0.25">
      <c r="A612" s="31"/>
      <c r="B612" s="117" t="s">
        <v>438</v>
      </c>
      <c r="C612" s="120">
        <f>+C611+C608</f>
        <v>0</v>
      </c>
      <c r="D612" s="120">
        <f t="shared" ref="D612" si="182">+D611+D608</f>
        <v>0</v>
      </c>
      <c r="E612" s="120">
        <f t="shared" ref="E612" si="183">+E611+E608</f>
        <v>0</v>
      </c>
      <c r="F612" s="120">
        <f t="shared" ref="F612" si="184">+F611+F608</f>
        <v>0</v>
      </c>
      <c r="G612" s="120">
        <f t="shared" ref="G612" si="185">+G611+G608</f>
        <v>0</v>
      </c>
      <c r="H612" s="120">
        <f t="shared" ref="H612" si="186">+H611+H608</f>
        <v>0</v>
      </c>
      <c r="I612" s="120">
        <f t="shared" ref="I612" si="187">+I611+I608</f>
        <v>0</v>
      </c>
      <c r="J612" s="120">
        <f t="shared" ref="J612" si="188">+J611+J608</f>
        <v>0</v>
      </c>
      <c r="K612" s="120">
        <f t="shared" ref="K612" si="189">+K611+K608</f>
        <v>0</v>
      </c>
      <c r="L612" s="120">
        <f t="shared" ref="L612" si="190">+L611+L608</f>
        <v>0</v>
      </c>
      <c r="M612" s="120">
        <f t="shared" ref="M612" si="191">+M611+M608</f>
        <v>0</v>
      </c>
      <c r="N612" s="120">
        <f t="shared" ref="N612" si="192">+N611+N608</f>
        <v>0</v>
      </c>
      <c r="O612" s="120">
        <f t="shared" si="180"/>
        <v>0</v>
      </c>
      <c r="P612" s="31"/>
      <c r="Q612" s="31"/>
      <c r="R612" s="31"/>
      <c r="S612" s="31"/>
      <c r="T612" s="31"/>
      <c r="U612" s="39"/>
    </row>
    <row r="613" spans="1:21" x14ac:dyDescent="0.25">
      <c r="A613" s="31"/>
      <c r="B613" s="117" t="s">
        <v>453</v>
      </c>
      <c r="C613" s="120">
        <f>C612</f>
        <v>0</v>
      </c>
      <c r="D613" s="120">
        <f t="shared" ref="D613" si="193">D612</f>
        <v>0</v>
      </c>
      <c r="E613" s="120">
        <f t="shared" ref="E613" si="194">E612</f>
        <v>0</v>
      </c>
      <c r="F613" s="120">
        <f t="shared" ref="F613" si="195">F612</f>
        <v>0</v>
      </c>
      <c r="G613" s="120">
        <f t="shared" ref="G613" si="196">G612</f>
        <v>0</v>
      </c>
      <c r="H613" s="120">
        <f t="shared" ref="H613" si="197">H612</f>
        <v>0</v>
      </c>
      <c r="I613" s="120">
        <f t="shared" ref="I613" si="198">I612</f>
        <v>0</v>
      </c>
      <c r="J613" s="120">
        <f t="shared" ref="J613" si="199">J612</f>
        <v>0</v>
      </c>
      <c r="K613" s="120">
        <f t="shared" ref="K613" si="200">K612</f>
        <v>0</v>
      </c>
      <c r="L613" s="120">
        <f t="shared" ref="L613" si="201">L612</f>
        <v>0</v>
      </c>
      <c r="M613" s="120">
        <f t="shared" ref="M613" si="202">M612</f>
        <v>0</v>
      </c>
      <c r="N613" s="120">
        <f t="shared" ref="N613" si="203">N612</f>
        <v>0</v>
      </c>
      <c r="O613" s="120">
        <f>SUM(C613:N613)</f>
        <v>0</v>
      </c>
      <c r="P613" s="31"/>
      <c r="Q613" s="31"/>
      <c r="R613" s="31"/>
      <c r="S613" s="31"/>
      <c r="T613" s="31"/>
      <c r="U613" s="39"/>
    </row>
    <row r="614" spans="1:2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9"/>
    </row>
    <row r="615" spans="1:21" ht="18.75" x14ac:dyDescent="0.25">
      <c r="A615" s="31"/>
      <c r="B615" s="45" t="s">
        <v>147</v>
      </c>
      <c r="C615" s="46" t="s">
        <v>149</v>
      </c>
      <c r="D615" s="46" t="s">
        <v>150</v>
      </c>
      <c r="E615" s="46" t="s">
        <v>151</v>
      </c>
      <c r="F615" s="46" t="s">
        <v>152</v>
      </c>
      <c r="G615" s="46" t="s">
        <v>153</v>
      </c>
      <c r="H615" s="46" t="s">
        <v>154</v>
      </c>
      <c r="I615" s="46" t="s">
        <v>155</v>
      </c>
      <c r="J615" s="46" t="s">
        <v>156</v>
      </c>
      <c r="K615" s="46" t="s">
        <v>157</v>
      </c>
      <c r="L615" s="46" t="s">
        <v>158</v>
      </c>
      <c r="M615" s="46" t="s">
        <v>159</v>
      </c>
      <c r="N615" s="46" t="s">
        <v>160</v>
      </c>
      <c r="O615" s="46" t="s">
        <v>240</v>
      </c>
      <c r="P615" s="31"/>
      <c r="Q615" s="31"/>
      <c r="R615" s="31"/>
      <c r="S615" s="31"/>
      <c r="T615" s="31"/>
      <c r="U615" s="39"/>
    </row>
    <row r="616" spans="1:21" x14ac:dyDescent="0.25">
      <c r="A616" s="31"/>
      <c r="B616" s="117" t="s">
        <v>435</v>
      </c>
      <c r="C616" s="120">
        <f>Autres!C85</f>
        <v>0</v>
      </c>
      <c r="D616" s="120">
        <f>Autres!D85</f>
        <v>0</v>
      </c>
      <c r="E616" s="120">
        <f>Autres!E85</f>
        <v>0</v>
      </c>
      <c r="F616" s="120">
        <f>Autres!F85</f>
        <v>0</v>
      </c>
      <c r="G616" s="120">
        <f>Autres!G85</f>
        <v>0</v>
      </c>
      <c r="H616" s="120">
        <f>Autres!H85</f>
        <v>0</v>
      </c>
      <c r="I616" s="120">
        <f>Autres!I85</f>
        <v>0</v>
      </c>
      <c r="J616" s="120">
        <f>Autres!J85</f>
        <v>0</v>
      </c>
      <c r="K616" s="120">
        <f>Autres!K85</f>
        <v>0</v>
      </c>
      <c r="L616" s="120">
        <f>Autres!L85</f>
        <v>0</v>
      </c>
      <c r="M616" s="120">
        <f>Autres!M85</f>
        <v>0</v>
      </c>
      <c r="N616" s="120">
        <f>Autres!N85</f>
        <v>0</v>
      </c>
      <c r="O616" s="120">
        <f>SUM(C616:N616)</f>
        <v>0</v>
      </c>
      <c r="P616" s="31"/>
      <c r="Q616" s="31"/>
      <c r="R616" s="31"/>
      <c r="S616" s="31"/>
      <c r="T616" s="31"/>
      <c r="U616" s="39"/>
    </row>
    <row r="617" spans="1:21" x14ac:dyDescent="0.25">
      <c r="A617" s="31"/>
      <c r="B617" s="117" t="s">
        <v>436</v>
      </c>
      <c r="C617" s="120">
        <f>SUMIF(Autres!$O$75:$O$84,"20%",Autres!C75:C84)</f>
        <v>0</v>
      </c>
      <c r="D617" s="120">
        <f>SUMIF(Autres!$O$75:$O$84,"20%",Autres!D75:D84)</f>
        <v>0</v>
      </c>
      <c r="E617" s="120">
        <f>SUMIF(Autres!$O$75:$O$84,"20%",Autres!E75:E84)</f>
        <v>0</v>
      </c>
      <c r="F617" s="120">
        <f>SUMIF(Autres!$O$75:$O$84,"20%",Autres!F75:F84)</f>
        <v>0</v>
      </c>
      <c r="G617" s="120">
        <f>SUMIF(Autres!$O$75:$O$84,"20%",Autres!G75:G84)</f>
        <v>0</v>
      </c>
      <c r="H617" s="120">
        <f>SUMIF(Autres!$O$75:$O$84,"20%",Autres!H75:H84)</f>
        <v>0</v>
      </c>
      <c r="I617" s="120">
        <f>SUMIF(Autres!$O$75:$O$84,"20%",Autres!I75:I84)</f>
        <v>0</v>
      </c>
      <c r="J617" s="120">
        <f>SUMIF(Autres!$O$75:$O$84,"20%",Autres!J75:J84)</f>
        <v>0</v>
      </c>
      <c r="K617" s="120">
        <f>SUMIF(Autres!$O$75:$O$84,"20%",Autres!K75:K84)</f>
        <v>0</v>
      </c>
      <c r="L617" s="120">
        <f>SUMIF(Autres!$O$75:$O$84,"20%",Autres!L75:L84)</f>
        <v>0</v>
      </c>
      <c r="M617" s="120">
        <f>SUMIF(Autres!$O$75:$O$84,"20%",Autres!M75:M84)</f>
        <v>0</v>
      </c>
      <c r="N617" s="120">
        <f>SUMIF(Autres!$O$75:$O$84,"20%",Autres!N75:N84)</f>
        <v>0</v>
      </c>
      <c r="O617" s="120">
        <f t="shared" ref="O617:O620" si="204">SUM(C617:N617)</f>
        <v>0</v>
      </c>
      <c r="P617" s="31"/>
      <c r="Q617" s="31"/>
      <c r="R617" s="31"/>
      <c r="S617" s="31"/>
      <c r="T617" s="31"/>
      <c r="U617" s="39"/>
    </row>
    <row r="618" spans="1:21" x14ac:dyDescent="0.25">
      <c r="A618" s="31"/>
      <c r="B618" s="117" t="s">
        <v>437</v>
      </c>
      <c r="C618" s="120">
        <f>SUMIF(Autres!$O$75:$O$84,"0%",Autres!C75:C84)</f>
        <v>0</v>
      </c>
      <c r="D618" s="120">
        <f>SUMIF(Autres!$O$75:$O$84,"0%",Autres!D75:D84)</f>
        <v>0</v>
      </c>
      <c r="E618" s="120">
        <f>SUMIF(Autres!$O$75:$O$84,"0%",Autres!E75:E84)</f>
        <v>0</v>
      </c>
      <c r="F618" s="120">
        <f>SUMIF(Autres!$O$75:$O$84,"0%",Autres!F75:F84)</f>
        <v>0</v>
      </c>
      <c r="G618" s="120">
        <f>SUMIF(Autres!$O$75:$O$84,"0%",Autres!G75:G84)</f>
        <v>0</v>
      </c>
      <c r="H618" s="120">
        <f>SUMIF(Autres!$O$75:$O$84,"0%",Autres!H75:H84)</f>
        <v>0</v>
      </c>
      <c r="I618" s="120">
        <f>SUMIF(Autres!$O$75:$O$84,"0%",Autres!I75:I84)</f>
        <v>0</v>
      </c>
      <c r="J618" s="120">
        <f>SUMIF(Autres!$O$75:$O$84,"0%",Autres!J75:J84)</f>
        <v>0</v>
      </c>
      <c r="K618" s="120">
        <f>SUMIF(Autres!$O$75:$O$84,"0%",Autres!K75:K84)</f>
        <v>0</v>
      </c>
      <c r="L618" s="120">
        <f>SUMIF(Autres!$O$75:$O$84,"0%",Autres!L75:L84)</f>
        <v>0</v>
      </c>
      <c r="M618" s="120">
        <f>SUMIF(Autres!$O$75:$O$84,"0%",Autres!M75:M84)</f>
        <v>0</v>
      </c>
      <c r="N618" s="120">
        <f>SUMIF(Autres!$O$75:$O$84,"0%",Autres!N75:N84)</f>
        <v>0</v>
      </c>
      <c r="O618" s="120">
        <f t="shared" si="204"/>
        <v>0</v>
      </c>
      <c r="P618" s="31"/>
      <c r="Q618" s="31"/>
      <c r="R618" s="31"/>
      <c r="S618" s="31"/>
      <c r="T618" s="31"/>
      <c r="U618" s="39"/>
    </row>
    <row r="619" spans="1:21" x14ac:dyDescent="0.25">
      <c r="A619" s="31"/>
      <c r="B619" s="117" t="s">
        <v>55</v>
      </c>
      <c r="C619" s="120">
        <f>C617*20%</f>
        <v>0</v>
      </c>
      <c r="D619" s="120">
        <f t="shared" ref="D619:N619" si="205">D617*20%</f>
        <v>0</v>
      </c>
      <c r="E619" s="120">
        <f t="shared" si="205"/>
        <v>0</v>
      </c>
      <c r="F619" s="120">
        <f t="shared" si="205"/>
        <v>0</v>
      </c>
      <c r="G619" s="120">
        <f t="shared" si="205"/>
        <v>0</v>
      </c>
      <c r="H619" s="120">
        <f t="shared" si="205"/>
        <v>0</v>
      </c>
      <c r="I619" s="120">
        <f t="shared" si="205"/>
        <v>0</v>
      </c>
      <c r="J619" s="120">
        <f t="shared" si="205"/>
        <v>0</v>
      </c>
      <c r="K619" s="120">
        <f t="shared" si="205"/>
        <v>0</v>
      </c>
      <c r="L619" s="120">
        <f t="shared" si="205"/>
        <v>0</v>
      </c>
      <c r="M619" s="120">
        <f t="shared" si="205"/>
        <v>0</v>
      </c>
      <c r="N619" s="120">
        <f t="shared" si="205"/>
        <v>0</v>
      </c>
      <c r="O619" s="120">
        <f t="shared" si="204"/>
        <v>0</v>
      </c>
      <c r="P619" s="31"/>
      <c r="Q619" s="31"/>
      <c r="R619" s="31"/>
      <c r="S619" s="31"/>
      <c r="T619" s="31"/>
      <c r="U619" s="39"/>
    </row>
    <row r="620" spans="1:21" x14ac:dyDescent="0.25">
      <c r="A620" s="31"/>
      <c r="B620" s="117" t="s">
        <v>438</v>
      </c>
      <c r="C620" s="120">
        <f>+C619+C616</f>
        <v>0</v>
      </c>
      <c r="D620" s="120">
        <f t="shared" ref="D620" si="206">+D619+D616</f>
        <v>0</v>
      </c>
      <c r="E620" s="120">
        <f t="shared" ref="E620" si="207">+E619+E616</f>
        <v>0</v>
      </c>
      <c r="F620" s="120">
        <f t="shared" ref="F620" si="208">+F619+F616</f>
        <v>0</v>
      </c>
      <c r="G620" s="120">
        <f t="shared" ref="G620" si="209">+G619+G616</f>
        <v>0</v>
      </c>
      <c r="H620" s="120">
        <f t="shared" ref="H620" si="210">+H619+H616</f>
        <v>0</v>
      </c>
      <c r="I620" s="120">
        <f t="shared" ref="I620" si="211">+I619+I616</f>
        <v>0</v>
      </c>
      <c r="J620" s="120">
        <f t="shared" ref="J620" si="212">+J619+J616</f>
        <v>0</v>
      </c>
      <c r="K620" s="120">
        <f t="shared" ref="K620" si="213">+K619+K616</f>
        <v>0</v>
      </c>
      <c r="L620" s="120">
        <f t="shared" ref="L620" si="214">+L619+L616</f>
        <v>0</v>
      </c>
      <c r="M620" s="120">
        <f t="shared" ref="M620" si="215">+M619+M616</f>
        <v>0</v>
      </c>
      <c r="N620" s="120">
        <f t="shared" ref="N620" si="216">+N619+N616</f>
        <v>0</v>
      </c>
      <c r="O620" s="120">
        <f t="shared" si="204"/>
        <v>0</v>
      </c>
      <c r="P620" s="31"/>
      <c r="Q620" s="31"/>
      <c r="R620" s="31"/>
      <c r="S620" s="31"/>
      <c r="T620" s="31"/>
      <c r="U620" s="39"/>
    </row>
    <row r="621" spans="1:21" x14ac:dyDescent="0.25">
      <c r="A621" s="31"/>
      <c r="B621" s="117" t="s">
        <v>453</v>
      </c>
      <c r="C621" s="120">
        <f>C620</f>
        <v>0</v>
      </c>
      <c r="D621" s="120">
        <f t="shared" ref="D621" si="217">D620</f>
        <v>0</v>
      </c>
      <c r="E621" s="120">
        <f t="shared" ref="E621" si="218">E620</f>
        <v>0</v>
      </c>
      <c r="F621" s="120">
        <f t="shared" ref="F621" si="219">F620</f>
        <v>0</v>
      </c>
      <c r="G621" s="120">
        <f t="shared" ref="G621" si="220">G620</f>
        <v>0</v>
      </c>
      <c r="H621" s="120">
        <f t="shared" ref="H621" si="221">H620</f>
        <v>0</v>
      </c>
      <c r="I621" s="120">
        <f t="shared" ref="I621" si="222">I620</f>
        <v>0</v>
      </c>
      <c r="J621" s="120">
        <f t="shared" ref="J621" si="223">J620</f>
        <v>0</v>
      </c>
      <c r="K621" s="120">
        <f t="shared" ref="K621" si="224">K620</f>
        <v>0</v>
      </c>
      <c r="L621" s="120">
        <f t="shared" ref="L621" si="225">L620</f>
        <v>0</v>
      </c>
      <c r="M621" s="120">
        <f t="shared" ref="M621" si="226">M620</f>
        <v>0</v>
      </c>
      <c r="N621" s="120">
        <f t="shared" ref="N621" si="227">N620</f>
        <v>0</v>
      </c>
      <c r="O621" s="120">
        <f>SUM(C621:N621)</f>
        <v>0</v>
      </c>
      <c r="P621" s="31"/>
      <c r="Q621" s="31"/>
      <c r="R621" s="31"/>
      <c r="S621" s="31"/>
      <c r="T621" s="31"/>
      <c r="U621" s="39"/>
    </row>
    <row r="622" spans="1:2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9"/>
    </row>
    <row r="623" spans="1:21" ht="18.75" x14ac:dyDescent="0.25">
      <c r="A623" s="31"/>
      <c r="B623" s="45" t="s">
        <v>148</v>
      </c>
      <c r="C623" s="46" t="s">
        <v>149</v>
      </c>
      <c r="D623" s="46" t="s">
        <v>150</v>
      </c>
      <c r="E623" s="46" t="s">
        <v>151</v>
      </c>
      <c r="F623" s="46" t="s">
        <v>152</v>
      </c>
      <c r="G623" s="46" t="s">
        <v>153</v>
      </c>
      <c r="H623" s="46" t="s">
        <v>154</v>
      </c>
      <c r="I623" s="46" t="s">
        <v>155</v>
      </c>
      <c r="J623" s="46" t="s">
        <v>156</v>
      </c>
      <c r="K623" s="46" t="s">
        <v>157</v>
      </c>
      <c r="L623" s="46" t="s">
        <v>158</v>
      </c>
      <c r="M623" s="46" t="s">
        <v>159</v>
      </c>
      <c r="N623" s="46" t="s">
        <v>160</v>
      </c>
      <c r="O623" s="46" t="s">
        <v>240</v>
      </c>
      <c r="P623" s="31"/>
      <c r="Q623" s="31"/>
      <c r="R623" s="31"/>
      <c r="S623" s="31"/>
      <c r="T623" s="31"/>
      <c r="U623" s="39"/>
    </row>
    <row r="624" spans="1:21" x14ac:dyDescent="0.25">
      <c r="A624" s="31"/>
      <c r="B624" s="117" t="s">
        <v>435</v>
      </c>
      <c r="C624" s="120">
        <f>Autres!C98</f>
        <v>0</v>
      </c>
      <c r="D624" s="120">
        <f>Autres!D98</f>
        <v>0</v>
      </c>
      <c r="E624" s="120">
        <f>Autres!E98</f>
        <v>0</v>
      </c>
      <c r="F624" s="120">
        <f>Autres!F98</f>
        <v>0</v>
      </c>
      <c r="G624" s="120">
        <f>Autres!G98</f>
        <v>0</v>
      </c>
      <c r="H624" s="120">
        <f>Autres!H98</f>
        <v>0</v>
      </c>
      <c r="I624" s="120">
        <f>Autres!I98</f>
        <v>0</v>
      </c>
      <c r="J624" s="120">
        <f>Autres!J98</f>
        <v>0</v>
      </c>
      <c r="K624" s="120">
        <f>Autres!K98</f>
        <v>0</v>
      </c>
      <c r="L624" s="120">
        <f>Autres!L98</f>
        <v>0</v>
      </c>
      <c r="M624" s="120">
        <f>Autres!M98</f>
        <v>0</v>
      </c>
      <c r="N624" s="120">
        <f>Autres!N98</f>
        <v>0</v>
      </c>
      <c r="O624" s="120">
        <f>SUM(C624:N624)</f>
        <v>0</v>
      </c>
      <c r="P624" s="31"/>
      <c r="Q624" s="31"/>
      <c r="R624" s="31"/>
      <c r="S624" s="31"/>
      <c r="T624" s="31"/>
      <c r="U624" s="39"/>
    </row>
    <row r="625" spans="1:38" x14ac:dyDescent="0.25">
      <c r="A625" s="31"/>
      <c r="B625" s="117" t="s">
        <v>436</v>
      </c>
      <c r="C625" s="120">
        <f>SUMIF(Autres!$O$88:$O$97,"20%",Autres!C88:C97)</f>
        <v>0</v>
      </c>
      <c r="D625" s="120">
        <f>SUMIF(Autres!$O$88:$O$97,"20%",Autres!D88:D97)</f>
        <v>0</v>
      </c>
      <c r="E625" s="120">
        <f>SUMIF(Autres!$O$88:$O$97,"20%",Autres!E88:E97)</f>
        <v>0</v>
      </c>
      <c r="F625" s="120">
        <f>SUMIF(Autres!$O$88:$O$97,"20%",Autres!F88:F97)</f>
        <v>0</v>
      </c>
      <c r="G625" s="120">
        <f>SUMIF(Autres!$O$88:$O$97,"20%",Autres!G88:G97)</f>
        <v>0</v>
      </c>
      <c r="H625" s="120">
        <f>SUMIF(Autres!$O$88:$O$97,"20%",Autres!H88:H97)</f>
        <v>0</v>
      </c>
      <c r="I625" s="120">
        <f>SUMIF(Autres!$O$88:$O$97,"20%",Autres!I88:I97)</f>
        <v>0</v>
      </c>
      <c r="J625" s="120">
        <f>SUMIF(Autres!$O$88:$O$97,"20%",Autres!J88:J97)</f>
        <v>0</v>
      </c>
      <c r="K625" s="120">
        <f>SUMIF(Autres!$O$88:$O$97,"20%",Autres!K88:K97)</f>
        <v>0</v>
      </c>
      <c r="L625" s="120">
        <f>SUMIF(Autres!$O$88:$O$97,"20%",Autres!L88:L97)</f>
        <v>0</v>
      </c>
      <c r="M625" s="120">
        <f>SUMIF(Autres!$O$88:$O$97,"20%",Autres!M88:M97)</f>
        <v>0</v>
      </c>
      <c r="N625" s="120">
        <f>SUMIF(Autres!$O$88:$O$97,"20%",Autres!N88:N97)</f>
        <v>0</v>
      </c>
      <c r="O625" s="120">
        <f t="shared" ref="O625:O629" si="228">SUM(C625:N625)</f>
        <v>0</v>
      </c>
      <c r="P625" s="31"/>
      <c r="Q625" s="31"/>
      <c r="R625" s="31"/>
      <c r="S625" s="31"/>
      <c r="T625" s="31"/>
      <c r="U625" s="39"/>
    </row>
    <row r="626" spans="1:38" x14ac:dyDescent="0.25">
      <c r="A626" s="31"/>
      <c r="B626" s="117" t="s">
        <v>437</v>
      </c>
      <c r="C626" s="120">
        <f>SUMIF(Autres!$O$88:$O$97,"0%",Autres!C88:C97)</f>
        <v>0</v>
      </c>
      <c r="D626" s="120">
        <f>SUMIF(Autres!$O$88:$O$97,"0%",Autres!D88:D97)</f>
        <v>0</v>
      </c>
      <c r="E626" s="120">
        <f>SUMIF(Autres!$O$88:$O$97,"0%",Autres!E88:E97)</f>
        <v>0</v>
      </c>
      <c r="F626" s="120">
        <f>SUMIF(Autres!$O$88:$O$97,"0%",Autres!F88:F97)</f>
        <v>0</v>
      </c>
      <c r="G626" s="120">
        <f>SUMIF(Autres!$O$88:$O$97,"0%",Autres!G88:G97)</f>
        <v>0</v>
      </c>
      <c r="H626" s="120">
        <f>SUMIF(Autres!$O$88:$O$97,"0%",Autres!H88:H97)</f>
        <v>0</v>
      </c>
      <c r="I626" s="120">
        <f>SUMIF(Autres!$O$88:$O$97,"0%",Autres!I88:I97)</f>
        <v>0</v>
      </c>
      <c r="J626" s="120">
        <f>SUMIF(Autres!$O$88:$O$97,"0%",Autres!J88:J97)</f>
        <v>0</v>
      </c>
      <c r="K626" s="120">
        <f>SUMIF(Autres!$O$88:$O$97,"0%",Autres!K88:K97)</f>
        <v>0</v>
      </c>
      <c r="L626" s="120">
        <f>SUMIF(Autres!$O$88:$O$97,"0%",Autres!L88:L97)</f>
        <v>0</v>
      </c>
      <c r="M626" s="120">
        <f>SUMIF(Autres!$O$88:$O$97,"0%",Autres!M88:M97)</f>
        <v>0</v>
      </c>
      <c r="N626" s="120">
        <f>SUMIF(Autres!$O$88:$O$97,"0%",Autres!N88:N97)</f>
        <v>0</v>
      </c>
      <c r="O626" s="120">
        <f t="shared" si="228"/>
        <v>0</v>
      </c>
      <c r="P626" s="31"/>
      <c r="Q626" s="31"/>
      <c r="R626" s="31"/>
      <c r="S626" s="31"/>
      <c r="T626" s="31"/>
      <c r="U626" s="39"/>
    </row>
    <row r="627" spans="1:38" x14ac:dyDescent="0.25">
      <c r="A627" s="31"/>
      <c r="B627" s="117" t="s">
        <v>55</v>
      </c>
      <c r="C627" s="120">
        <f>C625*20%</f>
        <v>0</v>
      </c>
      <c r="D627" s="120">
        <f t="shared" ref="D627:N627" si="229">D625*20%</f>
        <v>0</v>
      </c>
      <c r="E627" s="120">
        <f t="shared" si="229"/>
        <v>0</v>
      </c>
      <c r="F627" s="120">
        <f t="shared" si="229"/>
        <v>0</v>
      </c>
      <c r="G627" s="120">
        <f t="shared" si="229"/>
        <v>0</v>
      </c>
      <c r="H627" s="120">
        <f t="shared" si="229"/>
        <v>0</v>
      </c>
      <c r="I627" s="120">
        <f t="shared" si="229"/>
        <v>0</v>
      </c>
      <c r="J627" s="120">
        <f t="shared" si="229"/>
        <v>0</v>
      </c>
      <c r="K627" s="120">
        <f t="shared" si="229"/>
        <v>0</v>
      </c>
      <c r="L627" s="120">
        <f t="shared" si="229"/>
        <v>0</v>
      </c>
      <c r="M627" s="120">
        <f t="shared" si="229"/>
        <v>0</v>
      </c>
      <c r="N627" s="120">
        <f t="shared" si="229"/>
        <v>0</v>
      </c>
      <c r="O627" s="120">
        <f t="shared" si="228"/>
        <v>0</v>
      </c>
      <c r="P627" s="31"/>
      <c r="Q627" s="31"/>
      <c r="R627" s="31"/>
      <c r="S627" s="31"/>
      <c r="T627" s="31"/>
      <c r="U627" s="39"/>
    </row>
    <row r="628" spans="1:38" x14ac:dyDescent="0.25">
      <c r="A628" s="31"/>
      <c r="B628" s="117" t="s">
        <v>438</v>
      </c>
      <c r="C628" s="120">
        <f>+C627+C624</f>
        <v>0</v>
      </c>
      <c r="D628" s="120">
        <f t="shared" ref="D628" si="230">+D627+D624</f>
        <v>0</v>
      </c>
      <c r="E628" s="120">
        <f t="shared" ref="E628" si="231">+E627+E624</f>
        <v>0</v>
      </c>
      <c r="F628" s="120">
        <f t="shared" ref="F628" si="232">+F627+F624</f>
        <v>0</v>
      </c>
      <c r="G628" s="120">
        <f t="shared" ref="G628" si="233">+G627+G624</f>
        <v>0</v>
      </c>
      <c r="H628" s="120">
        <f t="shared" ref="H628" si="234">+H627+H624</f>
        <v>0</v>
      </c>
      <c r="I628" s="120">
        <f t="shared" ref="I628" si="235">+I627+I624</f>
        <v>0</v>
      </c>
      <c r="J628" s="120">
        <f t="shared" ref="J628" si="236">+J627+J624</f>
        <v>0</v>
      </c>
      <c r="K628" s="120">
        <f t="shared" ref="K628" si="237">+K627+K624</f>
        <v>0</v>
      </c>
      <c r="L628" s="120">
        <f t="shared" ref="L628" si="238">+L627+L624</f>
        <v>0</v>
      </c>
      <c r="M628" s="120">
        <f t="shared" ref="M628" si="239">+M627+M624</f>
        <v>0</v>
      </c>
      <c r="N628" s="120">
        <f t="shared" ref="N628" si="240">+N627+N624</f>
        <v>0</v>
      </c>
      <c r="O628" s="120">
        <f t="shared" si="228"/>
        <v>0</v>
      </c>
      <c r="P628" s="31"/>
      <c r="Q628" s="31"/>
      <c r="R628" s="31"/>
      <c r="S628" s="31"/>
      <c r="T628" s="31"/>
      <c r="U628" s="39"/>
    </row>
    <row r="629" spans="1:38" x14ac:dyDescent="0.25">
      <c r="A629" s="31"/>
      <c r="B629" s="117" t="s">
        <v>453</v>
      </c>
      <c r="C629" s="120">
        <f>C628</f>
        <v>0</v>
      </c>
      <c r="D629" s="120">
        <f t="shared" ref="D629" si="241">D628</f>
        <v>0</v>
      </c>
      <c r="E629" s="120">
        <f t="shared" ref="E629" si="242">E628</f>
        <v>0</v>
      </c>
      <c r="F629" s="120">
        <f t="shared" ref="F629" si="243">F628</f>
        <v>0</v>
      </c>
      <c r="G629" s="120">
        <f t="shared" ref="G629" si="244">G628</f>
        <v>0</v>
      </c>
      <c r="H629" s="120">
        <f t="shared" ref="H629" si="245">H628</f>
        <v>0</v>
      </c>
      <c r="I629" s="120">
        <f t="shared" ref="I629" si="246">I628</f>
        <v>0</v>
      </c>
      <c r="J629" s="120">
        <f t="shared" ref="J629" si="247">J628</f>
        <v>0</v>
      </c>
      <c r="K629" s="120">
        <f t="shared" ref="K629" si="248">K628</f>
        <v>0</v>
      </c>
      <c r="L629" s="120">
        <f t="shared" ref="L629" si="249">L628</f>
        <v>0</v>
      </c>
      <c r="M629" s="120">
        <f t="shared" ref="M629" si="250">M628</f>
        <v>0</v>
      </c>
      <c r="N629" s="120">
        <f t="shared" ref="N629" si="251">N628</f>
        <v>0</v>
      </c>
      <c r="O629" s="120">
        <f t="shared" si="228"/>
        <v>0</v>
      </c>
      <c r="P629" s="31"/>
      <c r="Q629" s="31"/>
      <c r="R629" s="31"/>
      <c r="S629" s="31"/>
      <c r="T629" s="31"/>
      <c r="U629" s="39"/>
    </row>
    <row r="630" spans="1:38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9"/>
    </row>
    <row r="631" spans="1:38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9"/>
    </row>
    <row r="632" spans="1:38" x14ac:dyDescent="0.25">
      <c r="A632" s="31"/>
      <c r="B632" s="31" t="s">
        <v>265</v>
      </c>
      <c r="C632" s="46" t="s">
        <v>149</v>
      </c>
      <c r="D632" s="46" t="s">
        <v>150</v>
      </c>
      <c r="E632" s="46" t="s">
        <v>151</v>
      </c>
      <c r="F632" s="46" t="s">
        <v>152</v>
      </c>
      <c r="G632" s="46" t="s">
        <v>153</v>
      </c>
      <c r="H632" s="46" t="s">
        <v>154</v>
      </c>
      <c r="I632" s="46" t="s">
        <v>155</v>
      </c>
      <c r="J632" s="46" t="s">
        <v>156</v>
      </c>
      <c r="K632" s="46" t="s">
        <v>157</v>
      </c>
      <c r="L632" s="46" t="s">
        <v>158</v>
      </c>
      <c r="M632" s="46" t="s">
        <v>159</v>
      </c>
      <c r="N632" s="46" t="s">
        <v>160</v>
      </c>
      <c r="O632" s="46" t="s">
        <v>656</v>
      </c>
      <c r="P632" s="46" t="s">
        <v>657</v>
      </c>
      <c r="Q632" s="46" t="s">
        <v>658</v>
      </c>
      <c r="R632" s="46" t="s">
        <v>659</v>
      </c>
      <c r="S632" s="46" t="s">
        <v>660</v>
      </c>
      <c r="T632" s="46" t="s">
        <v>661</v>
      </c>
      <c r="U632" s="46" t="s">
        <v>662</v>
      </c>
      <c r="V632" s="46" t="s">
        <v>663</v>
      </c>
      <c r="W632" s="46" t="s">
        <v>664</v>
      </c>
      <c r="X632" s="46" t="s">
        <v>665</v>
      </c>
      <c r="Y632" s="46" t="s">
        <v>666</v>
      </c>
      <c r="Z632" s="46" t="s">
        <v>667</v>
      </c>
      <c r="AA632" s="46" t="s">
        <v>668</v>
      </c>
      <c r="AB632" s="46" t="s">
        <v>669</v>
      </c>
      <c r="AC632" s="46" t="s">
        <v>670</v>
      </c>
      <c r="AD632" s="46" t="s">
        <v>671</v>
      </c>
      <c r="AE632" s="46" t="s">
        <v>672</v>
      </c>
      <c r="AF632" s="46" t="s">
        <v>673</v>
      </c>
      <c r="AG632" s="46" t="s">
        <v>674</v>
      </c>
      <c r="AH632" s="46" t="s">
        <v>675</v>
      </c>
      <c r="AI632" s="46" t="s">
        <v>676</v>
      </c>
      <c r="AJ632" s="46" t="s">
        <v>677</v>
      </c>
      <c r="AK632" s="46" t="s">
        <v>678</v>
      </c>
      <c r="AL632" s="46" t="s">
        <v>679</v>
      </c>
    </row>
    <row r="633" spans="1:38" x14ac:dyDescent="0.25">
      <c r="A633" s="26"/>
      <c r="B633" s="31" t="s">
        <v>172</v>
      </c>
      <c r="C633" s="356">
        <f>Activité!C29</f>
        <v>0</v>
      </c>
      <c r="D633" s="356">
        <f>Activité!D29</f>
        <v>0</v>
      </c>
      <c r="E633" s="356">
        <f>Activité!E29</f>
        <v>0</v>
      </c>
      <c r="F633" s="356">
        <f>Activité!F29</f>
        <v>0</v>
      </c>
      <c r="G633" s="356">
        <f>Activité!G29</f>
        <v>0</v>
      </c>
      <c r="H633" s="356">
        <f>Activité!H29</f>
        <v>0</v>
      </c>
      <c r="I633" s="356">
        <f>Activité!I29</f>
        <v>0</v>
      </c>
      <c r="J633" s="356">
        <f>Activité!J29</f>
        <v>0</v>
      </c>
      <c r="K633" s="356">
        <f>Activité!K29</f>
        <v>0</v>
      </c>
      <c r="L633" s="356">
        <f>Activité!L29</f>
        <v>0</v>
      </c>
      <c r="M633" s="356">
        <f>Activité!M29</f>
        <v>0</v>
      </c>
      <c r="N633" s="356">
        <f>Activité!N29</f>
        <v>0</v>
      </c>
      <c r="O633" s="356">
        <f>Activité!C47</f>
        <v>0</v>
      </c>
      <c r="P633" s="356">
        <f>Activité!D47</f>
        <v>0</v>
      </c>
      <c r="Q633" s="356">
        <f>Activité!E47</f>
        <v>0</v>
      </c>
      <c r="R633" s="356">
        <f>Activité!F47</f>
        <v>0</v>
      </c>
      <c r="S633" s="356">
        <f>Activité!G47</f>
        <v>0</v>
      </c>
      <c r="T633" s="356">
        <f>Activité!H47</f>
        <v>0</v>
      </c>
      <c r="U633" s="356">
        <f>Activité!I47</f>
        <v>0</v>
      </c>
      <c r="V633" s="356">
        <f>Activité!J47</f>
        <v>0</v>
      </c>
      <c r="W633" s="356">
        <f>Activité!K47</f>
        <v>0</v>
      </c>
      <c r="X633" s="356">
        <f>Activité!L47</f>
        <v>0</v>
      </c>
      <c r="Y633" s="356">
        <f>Activité!M47</f>
        <v>0</v>
      </c>
      <c r="Z633" s="356">
        <f>Activité!N47</f>
        <v>0</v>
      </c>
      <c r="AA633" s="356">
        <f>Activité!C65</f>
        <v>0</v>
      </c>
      <c r="AB633" s="356">
        <f>Activité!D65</f>
        <v>0</v>
      </c>
      <c r="AC633" s="356">
        <f>Activité!E65</f>
        <v>0</v>
      </c>
      <c r="AD633" s="356">
        <f>Activité!F65</f>
        <v>0</v>
      </c>
      <c r="AE633" s="356">
        <f>Activité!G65</f>
        <v>0</v>
      </c>
      <c r="AF633" s="356">
        <f>Activité!H65</f>
        <v>0</v>
      </c>
      <c r="AG633" s="356">
        <f>Activité!I65</f>
        <v>0</v>
      </c>
      <c r="AH633" s="356">
        <f>Activité!J65</f>
        <v>0</v>
      </c>
      <c r="AI633" s="356">
        <f>Activité!K65</f>
        <v>0</v>
      </c>
      <c r="AJ633" s="356">
        <f>Activité!L65</f>
        <v>0</v>
      </c>
      <c r="AK633" s="356">
        <f>Activité!M65</f>
        <v>0</v>
      </c>
      <c r="AL633" s="356">
        <f>Activité!N65</f>
        <v>0</v>
      </c>
    </row>
    <row r="634" spans="1:38" x14ac:dyDescent="0.25">
      <c r="A634" s="26"/>
      <c r="Q634" s="34"/>
      <c r="R634" s="34"/>
    </row>
    <row r="635" spans="1:38" x14ac:dyDescent="0.25">
      <c r="A635" s="26"/>
      <c r="B635" s="31" t="s">
        <v>265</v>
      </c>
      <c r="C635" s="46" t="s">
        <v>149</v>
      </c>
      <c r="D635" s="46" t="s">
        <v>150</v>
      </c>
      <c r="E635" s="46" t="s">
        <v>151</v>
      </c>
      <c r="F635" s="46" t="s">
        <v>152</v>
      </c>
      <c r="G635" s="46" t="s">
        <v>153</v>
      </c>
      <c r="H635" s="46" t="s">
        <v>154</v>
      </c>
      <c r="I635" s="46" t="s">
        <v>155</v>
      </c>
      <c r="J635" s="46" t="s">
        <v>156</v>
      </c>
      <c r="K635" s="46" t="s">
        <v>157</v>
      </c>
      <c r="L635" s="46" t="s">
        <v>158</v>
      </c>
      <c r="M635" s="46" t="s">
        <v>159</v>
      </c>
      <c r="N635" s="46" t="s">
        <v>160</v>
      </c>
      <c r="O635" s="46" t="s">
        <v>656</v>
      </c>
      <c r="P635" s="46" t="s">
        <v>657</v>
      </c>
      <c r="Q635" s="46" t="s">
        <v>658</v>
      </c>
      <c r="R635" s="46" t="s">
        <v>659</v>
      </c>
      <c r="S635" s="46" t="s">
        <v>660</v>
      </c>
      <c r="T635" s="46" t="s">
        <v>661</v>
      </c>
      <c r="U635" s="46" t="s">
        <v>662</v>
      </c>
      <c r="V635" s="46" t="s">
        <v>663</v>
      </c>
      <c r="W635" s="46" t="s">
        <v>664</v>
      </c>
      <c r="X635" s="46" t="s">
        <v>665</v>
      </c>
      <c r="Y635" s="46" t="s">
        <v>666</v>
      </c>
      <c r="Z635" s="46" t="s">
        <v>667</v>
      </c>
      <c r="AA635" s="46" t="s">
        <v>668</v>
      </c>
      <c r="AB635" s="46" t="s">
        <v>669</v>
      </c>
      <c r="AC635" s="46" t="s">
        <v>670</v>
      </c>
      <c r="AD635" s="46" t="s">
        <v>671</v>
      </c>
      <c r="AE635" s="46" t="s">
        <v>672</v>
      </c>
      <c r="AF635" s="46" t="s">
        <v>673</v>
      </c>
      <c r="AG635" s="46" t="s">
        <v>674</v>
      </c>
      <c r="AH635" s="46" t="s">
        <v>675</v>
      </c>
      <c r="AI635" s="46" t="s">
        <v>676</v>
      </c>
      <c r="AJ635" s="46" t="s">
        <v>677</v>
      </c>
      <c r="AK635" s="46" t="s">
        <v>678</v>
      </c>
      <c r="AL635" s="46" t="s">
        <v>679</v>
      </c>
    </row>
    <row r="636" spans="1:38" x14ac:dyDescent="0.25">
      <c r="A636" s="26"/>
      <c r="B636" s="31" t="s">
        <v>296</v>
      </c>
      <c r="C636" s="356">
        <f>'Trésorerie '!B29</f>
        <v>0</v>
      </c>
      <c r="D636" s="356">
        <f>'Trésorerie '!C29</f>
        <v>0</v>
      </c>
      <c r="E636" s="356">
        <f>'Trésorerie '!D29</f>
        <v>0</v>
      </c>
      <c r="F636" s="356">
        <f>'Trésorerie '!E29</f>
        <v>0</v>
      </c>
      <c r="G636" s="356">
        <f>'Trésorerie '!F29</f>
        <v>0</v>
      </c>
      <c r="H636" s="356">
        <f>'Trésorerie '!G29</f>
        <v>0</v>
      </c>
      <c r="I636" s="356">
        <f>'Trésorerie '!H29</f>
        <v>0</v>
      </c>
      <c r="J636" s="356">
        <f>'Trésorerie '!I29</f>
        <v>0</v>
      </c>
      <c r="K636" s="356">
        <f>'Trésorerie '!J29</f>
        <v>0</v>
      </c>
      <c r="L636" s="356">
        <f>'Trésorerie '!K29</f>
        <v>0</v>
      </c>
      <c r="M636" s="356">
        <f>'Trésorerie '!L29</f>
        <v>0</v>
      </c>
      <c r="N636" s="356">
        <f>'Trésorerie '!M29</f>
        <v>0</v>
      </c>
      <c r="O636" s="356">
        <f>'Trésorerie '!B57</f>
        <v>0</v>
      </c>
      <c r="P636" s="356">
        <f>'Trésorerie '!C57</f>
        <v>0</v>
      </c>
      <c r="Q636" s="356">
        <f>'Trésorerie '!D57</f>
        <v>0</v>
      </c>
      <c r="R636" s="356">
        <f>'Trésorerie '!E57</f>
        <v>0</v>
      </c>
      <c r="S636" s="356">
        <f>'Trésorerie '!F57</f>
        <v>0</v>
      </c>
      <c r="T636" s="356">
        <f>'Trésorerie '!G57</f>
        <v>0</v>
      </c>
      <c r="U636" s="356">
        <f>'Trésorerie '!H57</f>
        <v>0</v>
      </c>
      <c r="V636" s="356">
        <f>'Trésorerie '!I57</f>
        <v>0</v>
      </c>
      <c r="W636" s="356">
        <f>'Trésorerie '!J57</f>
        <v>0</v>
      </c>
      <c r="X636" s="356">
        <f>'Trésorerie '!K57</f>
        <v>0</v>
      </c>
      <c r="Y636" s="356">
        <f>'Trésorerie '!L57</f>
        <v>0</v>
      </c>
      <c r="Z636" s="356">
        <f>'Trésorerie '!M57</f>
        <v>0</v>
      </c>
      <c r="AA636" s="356">
        <f>'Trésorerie '!B86</f>
        <v>0</v>
      </c>
      <c r="AB636" s="356">
        <f>'Trésorerie '!C86</f>
        <v>0</v>
      </c>
      <c r="AC636" s="356">
        <f>'Trésorerie '!D86</f>
        <v>0</v>
      </c>
      <c r="AD636" s="356">
        <f>'Trésorerie '!E86</f>
        <v>0</v>
      </c>
      <c r="AE636" s="356">
        <f>'Trésorerie '!F86</f>
        <v>0</v>
      </c>
      <c r="AF636" s="356">
        <f>'Trésorerie '!G86</f>
        <v>0</v>
      </c>
      <c r="AG636" s="356">
        <f>'Trésorerie '!H86</f>
        <v>0</v>
      </c>
      <c r="AH636" s="356">
        <f>'Trésorerie '!I86</f>
        <v>0</v>
      </c>
      <c r="AI636" s="356">
        <f>'Trésorerie '!J86</f>
        <v>0</v>
      </c>
      <c r="AJ636" s="356">
        <f>'Trésorerie '!K86</f>
        <v>0</v>
      </c>
      <c r="AK636" s="356">
        <f>'Trésorerie '!L86</f>
        <v>0</v>
      </c>
      <c r="AL636" s="356">
        <f>'Trésorerie '!M86</f>
        <v>0</v>
      </c>
    </row>
    <row r="637" spans="1:38" x14ac:dyDescent="0.25">
      <c r="A637" s="26"/>
      <c r="Q637" s="34"/>
      <c r="R637" s="34"/>
    </row>
    <row r="638" spans="1:38" x14ac:dyDescent="0.25">
      <c r="A638" s="26"/>
      <c r="Q638" s="34"/>
      <c r="R638" s="34"/>
    </row>
    <row r="639" spans="1:38" x14ac:dyDescent="0.25">
      <c r="A639" s="26"/>
      <c r="Q639" s="34"/>
      <c r="R639" s="34"/>
    </row>
    <row r="640" spans="1:38" x14ac:dyDescent="0.25">
      <c r="A640" s="26"/>
      <c r="Q640" s="34"/>
      <c r="R640" s="34"/>
    </row>
    <row r="641" spans="1:18" x14ac:dyDescent="0.25">
      <c r="A641" s="26"/>
      <c r="Q641" s="34"/>
      <c r="R641" s="34"/>
    </row>
    <row r="642" spans="1:18" x14ac:dyDescent="0.25">
      <c r="A642" s="26"/>
      <c r="Q642" s="34"/>
      <c r="R642" s="34"/>
    </row>
    <row r="643" spans="1:18" x14ac:dyDescent="0.25">
      <c r="A643" s="26"/>
      <c r="Q643" s="34"/>
      <c r="R643" s="34"/>
    </row>
    <row r="644" spans="1:18" x14ac:dyDescent="0.25">
      <c r="A644" s="26"/>
      <c r="Q644" s="34"/>
      <c r="R644" s="34"/>
    </row>
    <row r="645" spans="1:18" x14ac:dyDescent="0.25">
      <c r="A645" s="26"/>
      <c r="Q645" s="34"/>
      <c r="R645" s="34"/>
    </row>
    <row r="646" spans="1:18" x14ac:dyDescent="0.25">
      <c r="A646" s="26"/>
      <c r="Q646" s="34"/>
      <c r="R646" s="34"/>
    </row>
    <row r="647" spans="1:18" x14ac:dyDescent="0.25">
      <c r="A647" s="26"/>
      <c r="Q647" s="34"/>
      <c r="R647" s="34"/>
    </row>
    <row r="648" spans="1:18" x14ac:dyDescent="0.25">
      <c r="A648" s="26"/>
      <c r="Q648" s="34"/>
      <c r="R648" s="34"/>
    </row>
    <row r="649" spans="1:18" x14ac:dyDescent="0.25">
      <c r="A649" s="26"/>
      <c r="Q649" s="34"/>
      <c r="R649" s="34"/>
    </row>
    <row r="650" spans="1:18" x14ac:dyDescent="0.25">
      <c r="A650" s="26"/>
      <c r="Q650" s="34"/>
      <c r="R650" s="34"/>
    </row>
    <row r="651" spans="1:18" x14ac:dyDescent="0.25">
      <c r="A651" s="26"/>
      <c r="Q651" s="34"/>
      <c r="R651" s="34"/>
    </row>
    <row r="652" spans="1:18" x14ac:dyDescent="0.25">
      <c r="A652" s="26"/>
      <c r="Q652" s="34"/>
      <c r="R652" s="34"/>
    </row>
    <row r="653" spans="1:18" x14ac:dyDescent="0.25">
      <c r="A653" s="26"/>
      <c r="Q653" s="34"/>
      <c r="R653" s="34"/>
    </row>
    <row r="654" spans="1:18" x14ac:dyDescent="0.25">
      <c r="A654" s="26"/>
      <c r="Q654" s="34"/>
      <c r="R654" s="34"/>
    </row>
    <row r="655" spans="1:18" x14ac:dyDescent="0.25">
      <c r="A655" s="26"/>
      <c r="Q655" s="34"/>
      <c r="R655" s="34"/>
    </row>
    <row r="656" spans="1:18" x14ac:dyDescent="0.25">
      <c r="A656" s="26"/>
      <c r="Q656" s="34"/>
      <c r="R656" s="34"/>
    </row>
    <row r="657" spans="1:18" x14ac:dyDescent="0.25">
      <c r="A657" s="26"/>
      <c r="Q657" s="34"/>
      <c r="R657" s="34"/>
    </row>
    <row r="658" spans="1:18" x14ac:dyDescent="0.25">
      <c r="A658" s="26"/>
      <c r="Q658" s="34"/>
      <c r="R658" s="34"/>
    </row>
    <row r="659" spans="1:18" x14ac:dyDescent="0.25">
      <c r="A659" s="26"/>
      <c r="Q659" s="34"/>
      <c r="R659" s="34"/>
    </row>
    <row r="660" spans="1:18" x14ac:dyDescent="0.25">
      <c r="A660" s="26"/>
      <c r="Q660" s="34"/>
      <c r="R660" s="34"/>
    </row>
    <row r="661" spans="1:18" x14ac:dyDescent="0.25">
      <c r="A661" s="26"/>
      <c r="Q661" s="34"/>
      <c r="R661" s="34"/>
    </row>
    <row r="662" spans="1:18" x14ac:dyDescent="0.25">
      <c r="A662" s="26"/>
      <c r="Q662" s="34"/>
      <c r="R662" s="34"/>
    </row>
    <row r="663" spans="1:18" x14ac:dyDescent="0.25">
      <c r="A663" s="26"/>
      <c r="Q663" s="34"/>
      <c r="R663" s="34"/>
    </row>
    <row r="664" spans="1:18" x14ac:dyDescent="0.25">
      <c r="A664" s="26"/>
      <c r="Q664" s="34"/>
      <c r="R664" s="34"/>
    </row>
    <row r="665" spans="1:18" x14ac:dyDescent="0.25">
      <c r="A665" s="26"/>
      <c r="Q665" s="34"/>
      <c r="R665" s="34"/>
    </row>
    <row r="666" spans="1:18" x14ac:dyDescent="0.25">
      <c r="A666" s="26"/>
      <c r="Q666" s="34"/>
      <c r="R666" s="34"/>
    </row>
    <row r="667" spans="1:18" x14ac:dyDescent="0.25">
      <c r="A667" s="26"/>
      <c r="Q667" s="34"/>
      <c r="R667" s="34"/>
    </row>
    <row r="668" spans="1:18" x14ac:dyDescent="0.25">
      <c r="A668" s="26"/>
      <c r="Q668" s="34"/>
      <c r="R668" s="34"/>
    </row>
    <row r="669" spans="1:18" x14ac:dyDescent="0.25">
      <c r="A669" s="26"/>
      <c r="Q669" s="34"/>
      <c r="R669" s="34"/>
    </row>
    <row r="670" spans="1:18" x14ac:dyDescent="0.25">
      <c r="A670" s="26"/>
      <c r="Q670" s="34"/>
      <c r="R670" s="34"/>
    </row>
    <row r="671" spans="1:18" x14ac:dyDescent="0.25">
      <c r="A671" s="26"/>
      <c r="Q671" s="34"/>
      <c r="R671" s="34"/>
    </row>
    <row r="672" spans="1:18" x14ac:dyDescent="0.25">
      <c r="A672" s="26"/>
      <c r="Q672" s="34"/>
      <c r="R672" s="34"/>
    </row>
    <row r="673" spans="1:18" x14ac:dyDescent="0.25">
      <c r="A673" s="26"/>
      <c r="Q673" s="34"/>
      <c r="R673" s="34"/>
    </row>
    <row r="674" spans="1:18" x14ac:dyDescent="0.25">
      <c r="A674" s="26"/>
      <c r="Q674" s="34"/>
      <c r="R674" s="34"/>
    </row>
    <row r="675" spans="1:18" x14ac:dyDescent="0.25">
      <c r="A675" s="26"/>
      <c r="Q675" s="34"/>
      <c r="R675" s="34"/>
    </row>
    <row r="676" spans="1:18" x14ac:dyDescent="0.25">
      <c r="A676" s="26"/>
      <c r="Q676" s="34"/>
      <c r="R676" s="34"/>
    </row>
    <row r="677" spans="1:18" x14ac:dyDescent="0.25">
      <c r="A677" s="26"/>
      <c r="Q677" s="34"/>
      <c r="R677" s="34"/>
    </row>
    <row r="678" spans="1:18" x14ac:dyDescent="0.25">
      <c r="A678" s="26"/>
      <c r="Q678" s="34"/>
      <c r="R678" s="34"/>
    </row>
    <row r="679" spans="1:18" x14ac:dyDescent="0.25">
      <c r="A679" s="26"/>
      <c r="Q679" s="34"/>
      <c r="R679" s="34"/>
    </row>
    <row r="680" spans="1:18" x14ac:dyDescent="0.25">
      <c r="A680" s="26"/>
      <c r="Q680" s="34"/>
      <c r="R680" s="34"/>
    </row>
    <row r="681" spans="1:18" x14ac:dyDescent="0.25">
      <c r="A681" s="26"/>
      <c r="Q681" s="34"/>
      <c r="R681" s="34"/>
    </row>
    <row r="682" spans="1:18" x14ac:dyDescent="0.25">
      <c r="A682" s="26"/>
      <c r="Q682" s="34"/>
      <c r="R682" s="34"/>
    </row>
    <row r="683" spans="1:18" x14ac:dyDescent="0.25">
      <c r="A683" s="26"/>
      <c r="Q683" s="34"/>
      <c r="R683" s="34"/>
    </row>
    <row r="684" spans="1:18" x14ac:dyDescent="0.25">
      <c r="A684" s="26"/>
      <c r="Q684" s="34"/>
      <c r="R684" s="34"/>
    </row>
    <row r="685" spans="1:18" x14ac:dyDescent="0.25">
      <c r="A685" s="26"/>
      <c r="Q685" s="34"/>
      <c r="R685" s="34"/>
    </row>
    <row r="686" spans="1:18" x14ac:dyDescent="0.25">
      <c r="A686" s="26"/>
      <c r="Q686" s="34"/>
      <c r="R686" s="34"/>
    </row>
    <row r="687" spans="1:18" x14ac:dyDescent="0.25">
      <c r="A687" s="26"/>
      <c r="Q687" s="34"/>
      <c r="R687" s="34"/>
    </row>
    <row r="688" spans="1:18" x14ac:dyDescent="0.25">
      <c r="A688" s="26"/>
      <c r="Q688" s="34"/>
      <c r="R688" s="34"/>
    </row>
    <row r="689" spans="1:18" x14ac:dyDescent="0.25">
      <c r="A689" s="26"/>
      <c r="Q689" s="34"/>
      <c r="R689" s="34"/>
    </row>
    <row r="690" spans="1:18" x14ac:dyDescent="0.25">
      <c r="A690" s="26"/>
      <c r="Q690" s="34"/>
      <c r="R690" s="34"/>
    </row>
    <row r="691" spans="1:18" x14ac:dyDescent="0.25">
      <c r="A691" s="26"/>
      <c r="Q691" s="34"/>
      <c r="R691" s="34"/>
    </row>
    <row r="692" spans="1:18" x14ac:dyDescent="0.25">
      <c r="A692" s="26"/>
      <c r="Q692" s="34"/>
      <c r="R692" s="34"/>
    </row>
    <row r="693" spans="1:18" x14ac:dyDescent="0.25">
      <c r="A693" s="26"/>
      <c r="Q693" s="34"/>
      <c r="R693" s="34"/>
    </row>
    <row r="694" spans="1:18" x14ac:dyDescent="0.25">
      <c r="A694" s="26"/>
      <c r="Q694" s="34"/>
      <c r="R694" s="34"/>
    </row>
    <row r="695" spans="1:18" x14ac:dyDescent="0.25">
      <c r="A695" s="26"/>
      <c r="Q695" s="34"/>
      <c r="R695" s="34"/>
    </row>
    <row r="696" spans="1:18" x14ac:dyDescent="0.25">
      <c r="A696" s="26"/>
      <c r="Q696" s="34"/>
      <c r="R696" s="34"/>
    </row>
    <row r="697" spans="1:18" x14ac:dyDescent="0.25">
      <c r="A697" s="26"/>
      <c r="Q697" s="34"/>
      <c r="R697" s="34"/>
    </row>
    <row r="698" spans="1:18" x14ac:dyDescent="0.25">
      <c r="A698" s="26"/>
      <c r="Q698" s="34"/>
      <c r="R698" s="34"/>
    </row>
    <row r="699" spans="1:18" x14ac:dyDescent="0.25">
      <c r="A699" s="26"/>
      <c r="Q699" s="34"/>
      <c r="R699" s="34"/>
    </row>
    <row r="700" spans="1:18" x14ac:dyDescent="0.25">
      <c r="A700" s="26"/>
      <c r="Q700" s="34"/>
      <c r="R700" s="34"/>
    </row>
    <row r="701" spans="1:18" x14ac:dyDescent="0.25">
      <c r="A701" s="26"/>
      <c r="Q701" s="34"/>
      <c r="R701" s="34"/>
    </row>
    <row r="702" spans="1:18" x14ac:dyDescent="0.25">
      <c r="A702" s="26"/>
      <c r="Q702" s="34"/>
      <c r="R702" s="34"/>
    </row>
    <row r="703" spans="1:18" x14ac:dyDescent="0.25">
      <c r="A703" s="26"/>
      <c r="Q703" s="34"/>
      <c r="R703" s="34"/>
    </row>
    <row r="704" spans="1:18" x14ac:dyDescent="0.25">
      <c r="A704" s="26"/>
      <c r="Q704" s="34"/>
      <c r="R704" s="34"/>
    </row>
    <row r="705" spans="1:18" x14ac:dyDescent="0.25">
      <c r="A705" s="26"/>
      <c r="Q705" s="34"/>
      <c r="R705" s="34"/>
    </row>
    <row r="706" spans="1:18" x14ac:dyDescent="0.25">
      <c r="A706" s="26"/>
      <c r="Q706" s="34"/>
      <c r="R706" s="34"/>
    </row>
    <row r="707" spans="1:18" x14ac:dyDescent="0.25">
      <c r="A707" s="26"/>
      <c r="Q707" s="34"/>
      <c r="R707" s="34"/>
    </row>
    <row r="708" spans="1:18" x14ac:dyDescent="0.25">
      <c r="A708" s="26"/>
      <c r="Q708" s="34"/>
      <c r="R708" s="34"/>
    </row>
    <row r="709" spans="1:18" x14ac:dyDescent="0.25">
      <c r="A709" s="26"/>
      <c r="Q709" s="34"/>
      <c r="R709" s="34"/>
    </row>
    <row r="710" spans="1:18" x14ac:dyDescent="0.25">
      <c r="A710" s="26"/>
      <c r="Q710" s="34"/>
      <c r="R710" s="34"/>
    </row>
    <row r="711" spans="1:18" x14ac:dyDescent="0.25">
      <c r="A711" s="26"/>
      <c r="Q711" s="34"/>
      <c r="R711" s="34"/>
    </row>
    <row r="712" spans="1:18" x14ac:dyDescent="0.25">
      <c r="A712" s="26"/>
      <c r="Q712" s="34"/>
      <c r="R712" s="34"/>
    </row>
    <row r="713" spans="1:18" x14ac:dyDescent="0.25">
      <c r="A713" s="26"/>
      <c r="Q713" s="34"/>
      <c r="R713" s="34"/>
    </row>
    <row r="714" spans="1:18" x14ac:dyDescent="0.25">
      <c r="A714" s="26"/>
      <c r="Q714" s="34"/>
      <c r="R714" s="34"/>
    </row>
    <row r="715" spans="1:18" x14ac:dyDescent="0.25">
      <c r="A715" s="26"/>
      <c r="Q715" s="34"/>
      <c r="R715" s="34"/>
    </row>
    <row r="716" spans="1:18" x14ac:dyDescent="0.25">
      <c r="A716" s="26"/>
      <c r="Q716" s="34"/>
      <c r="R716" s="34"/>
    </row>
    <row r="717" spans="1:18" x14ac:dyDescent="0.25">
      <c r="A717" s="26"/>
      <c r="Q717" s="34"/>
      <c r="R717" s="34"/>
    </row>
    <row r="718" spans="1:18" x14ac:dyDescent="0.25">
      <c r="A718" s="26"/>
      <c r="Q718" s="34"/>
      <c r="R718" s="34"/>
    </row>
    <row r="719" spans="1:18" x14ac:dyDescent="0.25">
      <c r="A719" s="26"/>
      <c r="Q719" s="34"/>
      <c r="R719" s="34"/>
    </row>
    <row r="720" spans="1:18" x14ac:dyDescent="0.25">
      <c r="A720" s="26"/>
      <c r="Q720" s="34"/>
      <c r="R720" s="34"/>
    </row>
    <row r="721" spans="1:18" x14ac:dyDescent="0.25">
      <c r="A721" s="26"/>
      <c r="Q721" s="34"/>
      <c r="R721" s="34"/>
    </row>
    <row r="722" spans="1:18" x14ac:dyDescent="0.25">
      <c r="A722" s="26"/>
      <c r="Q722" s="34"/>
      <c r="R722" s="34"/>
    </row>
    <row r="723" spans="1:18" x14ac:dyDescent="0.25">
      <c r="A723" s="26"/>
      <c r="Q723" s="34"/>
      <c r="R723" s="34"/>
    </row>
    <row r="724" spans="1:18" x14ac:dyDescent="0.25">
      <c r="A724" s="26"/>
      <c r="Q724" s="34"/>
      <c r="R724" s="34"/>
    </row>
    <row r="725" spans="1:18" x14ac:dyDescent="0.25">
      <c r="A725" s="26"/>
      <c r="Q725" s="34"/>
      <c r="R725" s="34"/>
    </row>
    <row r="726" spans="1:18" x14ac:dyDescent="0.25">
      <c r="A726" s="26"/>
      <c r="Q726" s="34"/>
      <c r="R726" s="34"/>
    </row>
    <row r="727" spans="1:18" x14ac:dyDescent="0.25">
      <c r="A727" s="26"/>
      <c r="Q727" s="34"/>
      <c r="R727" s="34"/>
    </row>
    <row r="728" spans="1:18" x14ac:dyDescent="0.25">
      <c r="A728" s="26"/>
      <c r="Q728" s="34"/>
      <c r="R728" s="34"/>
    </row>
    <row r="729" spans="1:18" x14ac:dyDescent="0.25">
      <c r="A729" s="26"/>
      <c r="Q729" s="34"/>
      <c r="R729" s="34"/>
    </row>
    <row r="730" spans="1:18" x14ac:dyDescent="0.25">
      <c r="A730" s="26"/>
      <c r="Q730" s="34"/>
      <c r="R730" s="34"/>
    </row>
    <row r="731" spans="1:18" x14ac:dyDescent="0.25">
      <c r="A731" s="26"/>
      <c r="Q731" s="34"/>
      <c r="R731" s="34"/>
    </row>
    <row r="732" spans="1:18" x14ac:dyDescent="0.25">
      <c r="A732" s="26"/>
      <c r="Q732" s="34"/>
      <c r="R732" s="34"/>
    </row>
    <row r="733" spans="1:18" x14ac:dyDescent="0.25">
      <c r="A733" s="26"/>
      <c r="Q733" s="34"/>
      <c r="R733" s="34"/>
    </row>
    <row r="734" spans="1:18" x14ac:dyDescent="0.25">
      <c r="A734" s="26"/>
      <c r="Q734" s="34"/>
      <c r="R734" s="34"/>
    </row>
    <row r="735" spans="1:18" x14ac:dyDescent="0.25">
      <c r="A735" s="26"/>
      <c r="Q735" s="34"/>
      <c r="R735" s="34"/>
    </row>
    <row r="736" spans="1:18" x14ac:dyDescent="0.25">
      <c r="A736" s="26"/>
      <c r="Q736" s="34"/>
      <c r="R736" s="34"/>
    </row>
    <row r="737" spans="1:18" x14ac:dyDescent="0.25">
      <c r="A737" s="26"/>
      <c r="Q737" s="34"/>
      <c r="R737" s="34"/>
    </row>
    <row r="738" spans="1:18" x14ac:dyDescent="0.25">
      <c r="A738" s="26"/>
      <c r="Q738" s="34"/>
      <c r="R738" s="34"/>
    </row>
    <row r="739" spans="1:18" x14ac:dyDescent="0.25">
      <c r="A739" s="26"/>
      <c r="Q739" s="34"/>
      <c r="R739" s="34"/>
    </row>
    <row r="740" spans="1:18" x14ac:dyDescent="0.25">
      <c r="A740" s="26"/>
      <c r="Q740" s="34"/>
      <c r="R740" s="34"/>
    </row>
    <row r="741" spans="1:18" x14ac:dyDescent="0.25">
      <c r="A741" s="26"/>
      <c r="Q741" s="34"/>
      <c r="R741" s="34"/>
    </row>
    <row r="742" spans="1:18" x14ac:dyDescent="0.25">
      <c r="A742" s="26"/>
      <c r="Q742" s="34"/>
      <c r="R742" s="34"/>
    </row>
    <row r="743" spans="1:18" x14ac:dyDescent="0.25">
      <c r="A743" s="26"/>
      <c r="Q743" s="34"/>
      <c r="R743" s="34"/>
    </row>
    <row r="744" spans="1:18" x14ac:dyDescent="0.25">
      <c r="A744" s="26"/>
      <c r="Q744" s="34"/>
      <c r="R744" s="34"/>
    </row>
    <row r="745" spans="1:18" x14ac:dyDescent="0.25">
      <c r="A745" s="26"/>
      <c r="Q745" s="34"/>
      <c r="R745" s="34"/>
    </row>
    <row r="746" spans="1:18" x14ac:dyDescent="0.25">
      <c r="A746" s="26"/>
      <c r="Q746" s="34"/>
      <c r="R746" s="34"/>
    </row>
    <row r="747" spans="1:18" x14ac:dyDescent="0.25">
      <c r="A747" s="26"/>
      <c r="Q747" s="34"/>
      <c r="R747" s="34"/>
    </row>
    <row r="748" spans="1:18" x14ac:dyDescent="0.25">
      <c r="A748" s="26"/>
      <c r="Q748" s="34"/>
      <c r="R748" s="34"/>
    </row>
    <row r="749" spans="1:18" x14ac:dyDescent="0.25">
      <c r="A749" s="26"/>
      <c r="Q749" s="34"/>
      <c r="R749" s="34"/>
    </row>
    <row r="750" spans="1:18" x14ac:dyDescent="0.25">
      <c r="A750" s="26"/>
      <c r="Q750" s="34"/>
      <c r="R750" s="34"/>
    </row>
    <row r="751" spans="1:18" x14ac:dyDescent="0.25">
      <c r="Q751" s="34"/>
      <c r="R751" s="34"/>
    </row>
    <row r="752" spans="1:18" x14ac:dyDescent="0.25">
      <c r="Q752" s="34"/>
      <c r="R752" s="34"/>
    </row>
    <row r="753" spans="17:18" x14ac:dyDescent="0.25">
      <c r="Q753" s="34"/>
      <c r="R753" s="34"/>
    </row>
    <row r="754" spans="17:18" x14ac:dyDescent="0.25">
      <c r="Q754" s="34"/>
      <c r="R754" s="34"/>
    </row>
    <row r="755" spans="17:18" x14ac:dyDescent="0.25">
      <c r="Q755" s="34"/>
      <c r="R755" s="34"/>
    </row>
    <row r="756" spans="17:18" x14ac:dyDescent="0.25">
      <c r="Q756" s="34"/>
      <c r="R756" s="34"/>
    </row>
    <row r="757" spans="17:18" x14ac:dyDescent="0.25">
      <c r="Q757" s="34"/>
      <c r="R757" s="34"/>
    </row>
    <row r="758" spans="17:18" x14ac:dyDescent="0.25">
      <c r="Q758" s="34"/>
      <c r="R758" s="34"/>
    </row>
    <row r="759" spans="17:18" x14ac:dyDescent="0.25">
      <c r="Q759" s="34"/>
      <c r="R759" s="34"/>
    </row>
    <row r="760" spans="17:18" x14ac:dyDescent="0.25">
      <c r="Q760" s="34"/>
      <c r="R760" s="34"/>
    </row>
    <row r="761" spans="17:18" x14ac:dyDescent="0.25">
      <c r="Q761" s="34"/>
      <c r="R761" s="34"/>
    </row>
    <row r="762" spans="17:18" x14ac:dyDescent="0.25">
      <c r="Q762" s="34"/>
      <c r="R762" s="34"/>
    </row>
    <row r="763" spans="17:18" x14ac:dyDescent="0.25">
      <c r="Q763" s="34"/>
      <c r="R763" s="34"/>
    </row>
    <row r="764" spans="17:18" x14ac:dyDescent="0.25">
      <c r="Q764" s="34"/>
      <c r="R764" s="34"/>
    </row>
    <row r="765" spans="17:18" x14ac:dyDescent="0.25">
      <c r="Q765" s="34"/>
      <c r="R765" s="34"/>
    </row>
    <row r="766" spans="17:18" x14ac:dyDescent="0.25">
      <c r="Q766" s="34"/>
      <c r="R766" s="34"/>
    </row>
    <row r="767" spans="17:18" x14ac:dyDescent="0.25">
      <c r="Q767" s="34"/>
      <c r="R767" s="34"/>
    </row>
    <row r="768" spans="17:18" x14ac:dyDescent="0.25">
      <c r="Q768" s="34"/>
      <c r="R768" s="34"/>
    </row>
    <row r="769" spans="17:18" x14ac:dyDescent="0.25">
      <c r="Q769" s="34"/>
      <c r="R769" s="34"/>
    </row>
    <row r="770" spans="17:18" x14ac:dyDescent="0.25">
      <c r="Q770" s="34"/>
      <c r="R770" s="34"/>
    </row>
    <row r="771" spans="17:18" x14ac:dyDescent="0.25">
      <c r="Q771" s="34"/>
      <c r="R771" s="34"/>
    </row>
    <row r="772" spans="17:18" x14ac:dyDescent="0.25">
      <c r="Q772" s="34"/>
      <c r="R772" s="34"/>
    </row>
    <row r="773" spans="17:18" x14ac:dyDescent="0.25">
      <c r="Q773" s="34"/>
      <c r="R773" s="34"/>
    </row>
    <row r="774" spans="17:18" x14ac:dyDescent="0.25">
      <c r="Q774" s="34"/>
      <c r="R774" s="34"/>
    </row>
    <row r="775" spans="17:18" x14ac:dyDescent="0.25">
      <c r="Q775" s="34"/>
      <c r="R775" s="34"/>
    </row>
    <row r="776" spans="17:18" x14ac:dyDescent="0.25">
      <c r="Q776" s="34"/>
      <c r="R776" s="34"/>
    </row>
    <row r="777" spans="17:18" x14ac:dyDescent="0.25">
      <c r="Q777" s="34"/>
      <c r="R777" s="34"/>
    </row>
    <row r="778" spans="17:18" x14ac:dyDescent="0.25">
      <c r="Q778" s="34"/>
      <c r="R778" s="34"/>
    </row>
    <row r="779" spans="17:18" x14ac:dyDescent="0.25">
      <c r="Q779" s="34"/>
      <c r="R779" s="34"/>
    </row>
    <row r="780" spans="17:18" x14ac:dyDescent="0.25">
      <c r="Q780" s="34"/>
      <c r="R780" s="34"/>
    </row>
    <row r="781" spans="17:18" x14ac:dyDescent="0.25">
      <c r="Q781" s="34"/>
      <c r="R781" s="34"/>
    </row>
    <row r="782" spans="17:18" x14ac:dyDescent="0.25">
      <c r="Q782" s="34"/>
      <c r="R782" s="34"/>
    </row>
    <row r="783" spans="17:18" x14ac:dyDescent="0.25">
      <c r="Q783" s="34"/>
      <c r="R783" s="34"/>
    </row>
    <row r="784" spans="17:18" x14ac:dyDescent="0.25">
      <c r="Q784" s="34"/>
      <c r="R784" s="34"/>
    </row>
    <row r="785" spans="17:18" x14ac:dyDescent="0.25">
      <c r="Q785" s="34"/>
      <c r="R785" s="34"/>
    </row>
    <row r="786" spans="17:18" x14ac:dyDescent="0.25">
      <c r="Q786" s="34"/>
      <c r="R786" s="34"/>
    </row>
    <row r="787" spans="17:18" x14ac:dyDescent="0.25">
      <c r="Q787" s="34"/>
      <c r="R787" s="34"/>
    </row>
    <row r="788" spans="17:18" x14ac:dyDescent="0.25">
      <c r="Q788" s="34"/>
      <c r="R788" s="34"/>
    </row>
    <row r="789" spans="17:18" x14ac:dyDescent="0.25">
      <c r="Q789" s="34"/>
      <c r="R789" s="34"/>
    </row>
  </sheetData>
  <sheetProtection algorithmName="SHA-512" hashValue="2YgBOd4Znw6J1o4zu8yCXvvh6rKK94LXCWbROdCuo0N8QejvS/aAry3mG1Phb099haSOiaNdfPZEjkHfbktfmQ==" saltValue="vIP0/WqXA7FNr7MRjloerQ==" spinCount="100000" sheet="1" objects="1" scenarios="1"/>
  <mergeCells count="26">
    <mergeCell ref="E517:E518"/>
    <mergeCell ref="B283:B294"/>
    <mergeCell ref="B295:B306"/>
    <mergeCell ref="C308:C309"/>
    <mergeCell ref="K452:O452"/>
    <mergeCell ref="D452:E452"/>
    <mergeCell ref="C452:C453"/>
    <mergeCell ref="F452:F453"/>
    <mergeCell ref="G452:G453"/>
    <mergeCell ref="H452:J452"/>
    <mergeCell ref="P452:T452"/>
    <mergeCell ref="C517:C518"/>
    <mergeCell ref="D517:D518"/>
    <mergeCell ref="B2:P2"/>
    <mergeCell ref="C230:C231"/>
    <mergeCell ref="B232:B243"/>
    <mergeCell ref="D308:I308"/>
    <mergeCell ref="B310:B321"/>
    <mergeCell ref="D230:I230"/>
    <mergeCell ref="B244:B255"/>
    <mergeCell ref="C269:C270"/>
    <mergeCell ref="D269:I269"/>
    <mergeCell ref="B271:B282"/>
    <mergeCell ref="B256:B267"/>
    <mergeCell ref="B322:B333"/>
    <mergeCell ref="B334:B3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Guide utilisation</vt:lpstr>
      <vt:lpstr>Caractéristiques</vt:lpstr>
      <vt:lpstr>Investissements</vt:lpstr>
      <vt:lpstr>Financements</vt:lpstr>
      <vt:lpstr>Activité</vt:lpstr>
      <vt:lpstr>Frais généraux</vt:lpstr>
      <vt:lpstr>Salaires</vt:lpstr>
      <vt:lpstr>Autres</vt:lpstr>
      <vt:lpstr>Calcul prévi</vt:lpstr>
      <vt:lpstr>Page de garde</vt:lpstr>
      <vt:lpstr>Synthèse</vt:lpstr>
      <vt:lpstr>Graphiques</vt:lpstr>
      <vt:lpstr>Compte de résultat</vt:lpstr>
      <vt:lpstr>Bilan</vt:lpstr>
      <vt:lpstr>Plan de financement</vt:lpstr>
      <vt:lpstr>Trésorerie 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PIERRE</cp:lastModifiedBy>
  <cp:lastPrinted>2020-03-04T10:52:59Z</cp:lastPrinted>
  <dcterms:created xsi:type="dcterms:W3CDTF">2009-12-27T12:29:38Z</dcterms:created>
  <dcterms:modified xsi:type="dcterms:W3CDTF">2020-07-28T09:14:45Z</dcterms:modified>
</cp:coreProperties>
</file>